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3EjzV6p+NaqBedTgbZGGkQ4Ugq3Blqu9hSq800wE8TE1CbqDNh9GKy3XP9CZtaJ0gAmkD91gPeKBGMmN6iH0jA==" workbookSaltValue="n63n3BjClRVdYpzF/8In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U10" i="17"/>
  <c r="BW11" i="20"/>
  <c r="BU16" i="17"/>
  <c r="T13" i="16"/>
  <c r="AZ16" i="11"/>
  <c r="X17" i="17"/>
  <c r="P15" i="17"/>
  <c r="BL15" i="11"/>
  <c r="BJ10" i="11"/>
  <c r="BH11"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M13" i="2"/>
  <c r="M18" i="2"/>
  <c r="N13" i="2"/>
  <c r="H10" i="2"/>
  <c r="V10" i="16"/>
  <c r="X15" i="16"/>
  <c r="X18" i="16" s="1"/>
  <c r="L17" i="2"/>
  <c r="L12" i="2"/>
  <c r="S16" i="17"/>
  <c r="S15" i="17"/>
  <c r="BK10" i="11"/>
  <c r="BH12" i="16"/>
  <c r="BM9" i="11"/>
  <c r="S17" i="17"/>
  <c r="BG16" i="11"/>
  <c r="BK16" i="11"/>
  <c r="BL10" i="11"/>
  <c r="BF12" i="11"/>
  <c r="S15" i="16"/>
  <c r="AZ11" i="11"/>
  <c r="BW10" i="20"/>
  <c r="BW12" i="20"/>
  <c r="BU11" i="17"/>
  <c r="BK17" i="11"/>
  <c r="BJ12" i="11"/>
  <c r="BM12" i="11"/>
  <c r="BF10" i="11"/>
  <c r="BM16" i="11"/>
  <c r="BH11" i="16"/>
  <c r="AL16" i="11"/>
  <c r="C16" i="6"/>
  <c r="BE9" i="13"/>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U12" i="11"/>
  <c r="S20" i="20"/>
  <c r="F20" i="20"/>
  <c r="AQ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K20" i="20"/>
  <c r="AI20" i="20"/>
  <c r="E20" i="20"/>
  <c r="AL20" i="20"/>
  <c r="O20" i="20"/>
  <c r="AF20" i="20"/>
  <c r="AG20" i="20"/>
  <c r="O10" i="11"/>
  <c r="AP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P20" i="16"/>
  <c r="BR20" i="16"/>
  <c r="H20" i="17"/>
  <c r="AW20" i="11"/>
  <c r="AX20" i="2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<sst xmlns="http://schemas.openxmlformats.org/spreadsheetml/2006/main" count="2102" uniqueCount="917">
  <si>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</si>
  <si>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</si>
  <si>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</si>
  <si>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</si>
  <si>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</si>
  <si>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</si>
  <si>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</si>
  <si>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</si>
  <si>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</si>
  <si>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</si>
  <si>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</si>
  <si>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</si>
  <si>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</si>
  <si>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</si>
  <si>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</si>
  <si>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</si>
  <si>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</si>
  <si>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</si>
  <si>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</si>
  <si>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</si>
  <si>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</si>
  <si>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</si>
  <si>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</si>
  <si>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</si>
  <si>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</si>
  <si>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</si>
  <si>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</si>
  <si>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</si>
  <si>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</si>
  <si>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</si>
  <si>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</si>
  <si>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</si>
  <si>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</si>
  <si>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</si>
  <si>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</si>
  <si>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</si>
  <si>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</si>
  <si>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</si>
  <si>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</si>
  <si>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</si>
  <si>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</si>
  <si>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</si>
  <si>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</si>
  <si>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</si>
  <si>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</si>
  <si>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</si>
  <si>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</si>
  <si>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</si>
  <si>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</si>
  <si>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</si>
  <si>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</si>
  <si>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</si>
  <si>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</si>
  <si>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</si>
  <si>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</si>
  <si>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</si>
  <si>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</si>
  <si>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</si>
  <si>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</si>
  <si>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</si>
  <si>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</si>
  <si>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</si>
  <si>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</si>
  <si>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</si>
  <si>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</si>
  <si>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</si>
  <si>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</si>
  <si>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</si>
  <si>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</si>
  <si>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</si>
  <si>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</si>
  <si>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</si>
  <si>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</si>
  <si>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</si>
  <si>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</si>
  <si>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</si>
  <si>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</si>
  <si>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</si>
  <si>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</si>
  <si>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</si>
  <si>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</si>
  <si>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</si>
  <si>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</si>
  <si>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</si>
  <si>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</si>
  <si>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</si>
  <si>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</si>
  <si>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</si>
  <si>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</si>
  <si>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</si>
  <si>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</si>
  <si>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</si>
  <si>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</si>
  <si>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</si>
  <si>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</si>
  <si>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</si>
  <si>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</si>
  <si>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</si>
  <si>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</si>
  <si>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</si>
  <si>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</si>
  <si>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</si>
  <si>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</si>
  <si>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</si>
  <si>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</si>
  <si>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</si>
  <si>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</si>
  <si>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</si>
  <si>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</si>
  <si>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</si>
  <si>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</si>
  <si>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</si>
  <si>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</si>
  <si>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</si>
  <si>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</si>
  <si>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</si>
  <si>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</si>
  <si>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</si>
  <si>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</si>
  <si>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</si>
  <si>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</si>
  <si>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</si>
  <si>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</si>
  <si>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</si>
  <si>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</si>
  <si>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</si>
  <si>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</si>
  <si>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</si>
  <si>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</si>
  <si>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</si>
  <si>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</si>
  <si>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</si>
  <si>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</si>
  <si>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</si>
  <si>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</si>
  <si>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</si>
  <si>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</si>
  <si>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</si>
  <si>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</si>
  <si>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</si>
  <si>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</si>
  <si>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</si>
  <si>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</si>
  <si>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</si>
  <si>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</si>
  <si>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</si>
  <si>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</si>
  <si>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</si>
  <si>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</si>
  <si>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</si>
  <si>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</si>
  <si>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</si>
  <si>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</si>
  <si>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</si>
  <si>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</si>
  <si>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</si>
  <si>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</si>
  <si>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</si>
  <si>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</si>
  <si>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</si>
  <si>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</si>
  <si>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</si>
  <si>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</si>
  <si>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</si>
  <si>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</si>
  <si>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</si>
  <si>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</si>
  <si>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</si>
  <si>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</si>
  <si>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</si>
  <si>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</si>
  <si>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</si>
  <si>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</si>
  <si>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</si>
  <si>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</si>
  <si>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</si>
  <si>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</si>
  <si>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</si>
  <si>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</si>
  <si>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</si>
  <si>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</si>
  <si>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</si>
  <si>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</si>
  <si>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</si>
  <si>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</si>
  <si>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</si>
  <si>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</si>
  <si>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</si>
  <si>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</si>
  <si>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</si>
  <si>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</si>
  <si>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</si>
  <si>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</si>
  <si>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</si>
  <si>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</si>
  <si>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</si>
  <si>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</si>
  <si>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</si>
  <si>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</si>
  <si>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</si>
  <si>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</si>
  <si>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</si>
  <si>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</si>
  <si>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</si>
  <si>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</si>
  <si>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</si>
  <si>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</si>
  <si>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</si>
  <si>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</si>
  <si>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</si>
  <si>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</si>
  <si>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</si>
  <si>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</si>
  <si>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</si>
  <si>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</si>
  <si>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</si>
  <si>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</si>
  <si>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</si>
  <si>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</si>
  <si>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</si>
  <si>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</si>
  <si>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</si>
  <si>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</si>
  <si>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</si>
  <si>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</si>
  <si>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</si>
  <si>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</si>
  <si>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</si>
  <si>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</si>
  <si>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</si>
  <si>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</si>
  <si>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</si>
  <si>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</si>
  <si>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</si>
  <si>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</si>
  <si>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</si>
  <si>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</si>
  <si>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</si>
  <si>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</si>
  <si>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</si>
  <si>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</si>
  <si>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</si>
  <si>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</si>
  <si>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</si>
  <si>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</si>
  <si>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</si>
  <si>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</si>
  <si>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</si>
  <si>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</si>
  <si>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</si>
  <si>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</si>
  <si>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</si>
  <si>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</si>
  <si>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</si>
  <si>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</si>
  <si>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</si>
  <si>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</si>
  <si>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</si>
  <si>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</si>
  <si>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</si>
  <si>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</si>
  <si>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</si>
  <si>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</si>
  <si>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</si>
  <si>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</si>
  <si>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</si>
  <si>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</si>
  <si>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</si>
  <si>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</si>
  <si>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</si>
  <si>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</si>
  <si>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</si>
  <si>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</si>
  <si>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</si>
  <si>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</si>
  <si>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</si>
  <si>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</si>
  <si>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</si>
  <si>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</si>
  <si>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</si>
  <si>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</si>
  <si>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</si>
  <si>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</si>
  <si>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</si>
  <si>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</si>
  <si>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</si>
  <si>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</si>
  <si>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</si>
  <si>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</si>
  <si>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</si>
  <si>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</si>
  <si>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</si>
  <si>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</si>
  <si>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</si>
  <si>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</si>
  <si>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</si>
  <si>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</si>
  <si>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</si>
  <si>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</si>
  <si>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</si>
  <si>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</si>
  <si>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</si>
  <si>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</si>
  <si>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</si>
  <si>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</si>
  <si>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</si>
  <si>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</si>
  <si>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</si>
  <si>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</si>
  <si>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</si>
  <si>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</si>
  <si>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</si>
  <si>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</si>
  <si>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</si>
  <si>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</si>
  <si>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</si>
  <si>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</si>
  <si>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</si>
  <si>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</si>
  <si>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</si>
  <si>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</si>
  <si>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</si>
  <si>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</si>
  <si>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</si>
  <si>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</si>
  <si>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</si>
  <si>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</si>
  <si>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</si>
  <si>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</si>
  <si>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</si>
  <si>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</si>
  <si>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</si>
  <si>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</si>
  <si>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</si>
  <si>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</si>
  <si>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</si>
  <si>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</si>
  <si>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</si>
  <si>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</si>
  <si>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</si>
  <si>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</si>
  <si>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</si>
  <si>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</si>
  <si>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</si>
  <si>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</si>
  <si>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</si>
  <si>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</si>
  <si>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</si>
  <si>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</si>
  <si>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</si>
  <si>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</si>
  <si>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</si>
  <si>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</si>
  <si>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</si>
  <si>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</si>
  <si>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</si>
  <si>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</si>
  <si>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</si>
  <si>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</si>
  <si>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</si>
  <si>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</si>
  <si>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</si>
  <si>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</si>
  <si>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</si>
  <si>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</si>
  <si>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</si>
  <si>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</si>
  <si>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</si>
  <si>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</si>
  <si>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</si>
  <si>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</si>
  <si>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</si>
  <si>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</si>
  <si>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</si>
  <si>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</si>
  <si>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</si>
  <si>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</si>
  <si>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</si>
  <si>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</si>
  <si>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</si>
  <si>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</si>
  <si>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</si>
  <si>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</si>
  <si>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</si>
  <si>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</si>
  <si>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</si>
  <si>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</si>
  <si>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</si>
  <si>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</si>
  <si>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</si>
  <si>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</si>
  <si>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</si>
  <si>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</si>
  <si>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</si>
  <si>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</si>
  <si>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</si>
  <si>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</si>
  <si>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</si>
  <si>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</si>
  <si>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</si>
  <si>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</si>
  <si>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</si>
  <si>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</si>
  <si>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</si>
  <si>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</si>
  <si>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</si>
  <si>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</si>
  <si>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</si>
  <si>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</si>
  <si>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</si>
  <si>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</si>
  <si>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</si>
  <si>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</si>
  <si>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</si>
  <si>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</si>
  <si>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</si>
  <si>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</si>
  <si>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</si>
  <si>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</si>
  <si>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</si>
  <si>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</si>
  <si>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</si>
  <si>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</si>
  <si>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</si>
  <si>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</si>
  <si>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</si>
  <si>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</si>
  <si>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</si>
  <si>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</si>
  <si>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</si>
  <si>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</si>
  <si>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</si>
  <si>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</si>
  <si>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</si>
  <si>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</si>
  <si>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</si>
  <si>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</si>
  <si>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</si>
  <si>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</si>
  <si>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</si>
  <si>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</si>
  <si>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</si>
  <si>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</si>
  <si>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</si>
  <si>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</si>
  <si>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</si>
  <si>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</si>
  <si>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</si>
  <si>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</si>
  <si>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</si>
  <si>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</si>
  <si>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</si>
  <si>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</si>
  <si>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</si>
  <si>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</si>
  <si>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</si>
  <si>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</si>
  <si>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</si>
  <si>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</si>
  <si>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</si>
  <si>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</si>
  <si>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</si>
  <si>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</si>
  <si>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</si>
  <si>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</si>
  <si>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</si>
  <si>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</si>
  <si>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</si>
  <si>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</si>
  <si>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</si>
  <si>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</si>
  <si>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</si>
  <si>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</si>
  <si>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</si>
  <si>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</si>
  <si>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</si>
  <si>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</si>
  <si>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</si>
  <si>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</si>
  <si>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</si>
  <si>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</si>
  <si>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</si>
  <si>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</si>
  <si>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</si>
  <si>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</si>
  <si>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</si>
  <si>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</si>
  <si>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</si>
  <si>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</si>
  <si>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</si>
  <si>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</si>
  <si>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</si>
  <si>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</si>
  <si>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</si>
  <si>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</si>
  <si>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</si>
  <si>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</si>
  <si>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</si>
  <si>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</si>
  <si>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</si>
  <si>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</si>
  <si>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</si>
  <si>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</si>
  <si>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</si>
  <si>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</si>
  <si>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</si>
  <si>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</si>
  <si>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</si>
  <si>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</si>
  <si>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</si>
  <si>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</si>
  <si>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</si>
  <si>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</si>
  <si>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</si>
  <si>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</si>
  <si>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</si>
  <si>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</si>
  <si>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</si>
  <si>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</si>
  <si>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</si>
  <si>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</si>
  <si>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</si>
  <si>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</si>
  <si>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</si>
  <si>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</si>
  <si>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</si>
  <si>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</si>
  <si>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</si>
  <si>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</si>
  <si>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</si>
  <si>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</si>
  <si>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</si>
  <si>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</si>
  <si>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</si>
  <si>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</si>
  <si>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</si>
  <si>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</si>
  <si>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</si>
  <si>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</si>
  <si>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</si>
  <si>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</si>
  <si>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</si>
  <si>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</si>
  <si>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</si>
  <si>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</si>
  <si>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</si>
  <si>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</si>
  <si>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</si>
  <si>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</si>
  <si>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</si>
  <si>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</si>
  <si>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</si>
  <si>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</si>
  <si>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</si>
  <si>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</si>
  <si>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</si>
  <si>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</si>
  <si>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</si>
  <si>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</si>
  <si>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</si>
  <si>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</si>
  <si>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</si>
  <si>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</si>
  <si>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</si>
  <si>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</si>
  <si>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</si>
  <si>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</si>
  <si>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</si>
  <si>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</si>
  <si>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</si>
  <si>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</si>
  <si>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</si>
  <si>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</si>
  <si>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</si>
  <si>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</si>
  <si>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</si>
  <si>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</si>
  <si>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</si>
  <si>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</si>
  <si>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</si>
  <si>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</si>
  <si>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</si>
  <si>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</si>
  <si>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</si>
  <si>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</si>
  <si>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</si>
  <si>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</si>
  <si>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</si>
  <si>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</si>
  <si>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</si>
  <si>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</si>
  <si>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</si>
  <si>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</si>
  <si>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</si>
  <si>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</si>
  <si>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</si>
  <si>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</si>
  <si>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</si>
  <si>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</si>
  <si>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</si>
  <si>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</si>
  <si>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</si>
  <si>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</si>
  <si>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</si>
  <si>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</si>
  <si>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</si>
  <si>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</si>
  <si>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</si>
  <si>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</si>
  <si>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</si>
  <si>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</si>
  <si>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</si>
  <si>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</si>
  <si>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</si>
  <si>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</si>
  <si>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</si>
  <si>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</si>
  <si>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</si>
  <si>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</si>
  <si>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</si>
  <si>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</si>
  <si>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</si>
  <si>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</si>
  <si>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</si>
  <si>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</si>
  <si>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</si>
  <si>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</si>
  <si>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</si>
  <si>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</si>
  <si>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</si>
  <si>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</si>
  <si>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</si>
  <si>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</si>
  <si>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</si>
  <si>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</si>
  <si>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</si>
  <si>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</si>
  <si>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</si>
  <si>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</si>
  <si>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</si>
  <si>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</si>
  <si>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</si>
  <si>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</si>
  <si>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</si>
  <si>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</si>
  <si>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</si>
  <si>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</si>
  <si>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</si>
  <si>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</si>
  <si>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</si>
  <si>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</si>
  <si>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</si>
  <si>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</si>
  <si>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</si>
  <si>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</si>
  <si>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</si>
  <si>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</si>
  <si>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</si>
  <si>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</si>
  <si>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</si>
  <si>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</si>
  <si>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</si>
  <si>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</si>
  <si>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</si>
  <si>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</si>
  <si>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</si>
  <si>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</si>
  <si>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</si>
  <si>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</si>
  <si>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</si>
  <si>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</si>
  <si>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</si>
  <si>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</si>
  <si>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</si>
  <si>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</si>
  <si>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</si>
  <si>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</si>
  <si>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</si>
  <si>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</si>
  <si>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</si>
  <si>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</si>
  <si>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</si>
  <si>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</si>
  <si>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</si>
  <si>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</si>
  <si>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</si>
  <si>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</si>
  <si>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</si>
  <si>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</si>
  <si>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</si>
  <si>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</si>
  <si>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</si>
  <si>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</si>
  <si>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</si>
  <si>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</si>
  <si>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</si>
  <si>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</si>
  <si>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</si>
  <si>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</si>
  <si>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</si>
  <si>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</si>
  <si>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</si>
  <si>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</si>
  <si>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</si>
  <si>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</si>
  <si>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</si>
  <si>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</si>
  <si>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</si>
  <si>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</si>
  <si>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</si>
  <si>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</si>
  <si>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</si>
  <si>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</si>
  <si>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</si>
  <si>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</si>
  <si>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</si>
  <si>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</si>
  <si>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</si>
  <si>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</si>
  <si>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</si>
  <si>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</si>
  <si>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</si>
  <si>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</si>
  <si>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</si>
  <si>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</si>
  <si>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</si>
  <si>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</si>
  <si>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</si>
  <si>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</si>
  <si>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</si>
  <si>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</si>
  <si>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</si>
  <si>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</si>
  <si>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</si>
  <si>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</si>
  <si>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</si>
  <si>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</si>
  <si>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</si>
  <si>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</si>
  <si>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</si>
  <si>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</si>
  <si>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</si>
  <si>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</si>
  <si>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</si>
  <si>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</si>
  <si>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</si>
  <si>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</si>
  <si>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</si>
  <si>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</si>
  <si>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</si>
  <si>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</si>
  <si>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</si>
  <si>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</si>
  <si>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</si>
  <si>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</si>
  <si>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</si>
  <si>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</si>
  <si>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</si>
  <si>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</si>
  <si>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</si>
  <si>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</si>
  <si>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</si>
  <si>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</si>
  <si>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</si>
  <si>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</si>
  <si>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</si>
  <si>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</si>
  <si>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</si>
  <si>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</si>
  <si>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</si>
  <si>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</si>
  <si>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</si>
  <si>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</si>
  <si>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</si>
  <si>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</si>
  <si>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</si>
  <si>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</si>
  <si>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</si>
  <si>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</si>
  <si>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</si>
  <si>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</si>
  <si>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</si>
  <si>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</si>
  <si>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</si>
  <si>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</si>
  <si>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</si>
  <si>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</si>
  <si>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</si>
  <si>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</si>
  <si>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</si>
  <si>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</si>
  <si>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</si>
  <si>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</si>
  <si>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</si>
  <si>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</si>
  <si>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</si>
  <si>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</si>
  <si>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</si>
  <si>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</si>
  <si>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</si>
  <si>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</si>
  <si>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</si>
  <si>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</si>
  <si>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</si>
  <si>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</si>
  <si>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</si>
  <si>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</si>
  <si>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</si>
  <si>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</si>
  <si>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</si>
  <si>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</si>
  <si>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</si>
  <si>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</si>
  <si>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</si>
  <si>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</si>
  <si>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</si>
  <si>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</si>
  <si>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</si>
  <si>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</si>
  <si>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</si>
  <si>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</si>
  <si>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</si>
  <si>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</si>
  <si>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</si>
  <si>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</si>
  <si>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</si>
  <si>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</si>
  <si>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</si>
  <si>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</si>
  <si>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</si>
  <si>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</si>
  <si>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</si>
  <si>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</si>
  <si>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</si>
  <si>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</si>
  <si>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</si>
  <si>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</si>
  <si>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</si>
  <si>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</si>
  <si>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</si>
  <si>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</si>
  <si>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</si>
  <si>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</si>
  <si>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</si>
  <si>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</si>
  <si>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</si>
  <si>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</si>
  <si>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</si>
  <si>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</si>
  <si>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</si>
  <si>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</si>
  <si>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</si>
  <si>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</si>
  <si>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</si>
  <si>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</si>
  <si>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</si>
  <si>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</si>
  <si>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</si>
  <si>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</si>
  <si>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</si>
  <si>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</si>
  <si>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</si>
  <si>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</si>
  <si>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</si>
  <si>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</si>
  <si>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</si>
  <si>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</si>
  <si>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</si>
  <si>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</si>
  <si>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</si>
  <si>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</si>
  <si>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</si>
  <si>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</si>
  <si>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</si>
  <si>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</si>
  <si>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</si>
  <si>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</si>
  <si>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</si>
  <si>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</si>
  <si>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</si>
  <si>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</si>
  <si>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</si>
  <si>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</si>
  <si>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</si>
  <si>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</si>
  <si>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</si>
  <si>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</si>
  <si>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</si>
  <si>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</si>
  <si>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</si>
  <si>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</si>
  <si>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</si>
  <si>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</si>
  <si>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</si>
  <si>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</si>
  <si>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</si>
  <si>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</si>
  <si>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</si>
  <si>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</si>
  <si>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</si>
  <si>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</si>
  <si>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</si>
  <si>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</si>
  <si>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</si>
  <si>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</si>
  <si>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</si>
  <si>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</si>
  <si>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</si>
  <si>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</si>
  <si>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</si>
  <si>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</si>
  <si>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</si>
  <si>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</si>
  <si>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</si>
  <si>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</si>
  <si>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</si>
  <si>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NAVALCARNERO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</si>
</sst>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z46aJ9jSMciFGj5XTt4gQNp4uwrtmkyV2wFV4vkTl3tmg3FV3aNtrv/EJbIs//6mMroeGhQpM9Hm7OBW2HX7Q==" saltValue="qFa+WROzbg4R1p729oqo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80</v>
      </c>
      <c r="D10" s="225">
        <f>IF(ISNUMBER(Datos!I10),Datos!I10," - ")</f>
        <v>80</v>
      </c>
      <c r="E10" s="226">
        <f>IF(ISNUMBER(Datos!J10),Datos!J10," - ")</f>
        <v>52</v>
      </c>
      <c r="F10" s="226">
        <f>IF(ISNUMBER(Datos!K10),Datos!K10," - ")</f>
        <v>53</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-1.2500000000000001E-2</v>
      </c>
      <c r="L10" s="1025">
        <f>IF(ISNUMBER(NºAsuntos!I10/NºAsuntos!G10),(NºAsuntos!I10/NºAsuntos!G10)*11," - ")</f>
        <v>16.39622641509434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31.391736193881602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80</v>
      </c>
      <c r="D13" s="1049">
        <f>SUBTOTAL(9,D9:D12)</f>
        <v>80</v>
      </c>
      <c r="E13" s="1050">
        <f>SUBTOTAL(9,E9:E12)</f>
        <v>52</v>
      </c>
      <c r="F13" s="1051">
        <f>SUBTOTAL(9,F9:F12)</f>
        <v>53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2186</v>
      </c>
      <c r="D16" s="225">
        <f>IF(ISNUMBER(IF(D_I="SI",Datos!I16,Datos!I16+Datos!AC16)),IF(D_I="SI",Datos!I16,Datos!I16+Datos!AC16)," - ")</f>
        <v>2142</v>
      </c>
      <c r="E16" s="226">
        <f>IF(ISNUMBER(IF(D_I="SI",Datos!J16,Datos!J16+Datos!AD16)),IF(D_I="SI",Datos!J16,Datos!J16+Datos!AD16)," - ")</f>
        <v>1970</v>
      </c>
      <c r="F16" s="226">
        <f>IF(ISNUMBER(IF(D_I="SI",Datos!K16,Datos!K16+Datos!AE16)),IF(D_I="SI",Datos!K16,Datos!K16+Datos!AE16)," - ")</f>
        <v>1787</v>
      </c>
      <c r="G16" s="1034" t="str">
        <f>IF(Datos!E16&lt;&gt;"",Datos!E16,Datos!D16)</f>
        <v>04</v>
      </c>
      <c r="H16" s="227">
        <f>IF(ISNUMBER(IF(D_I="SI",Datos!L16,Datos!L16+Datos!AF16)),IF(D_I="SI",Datos!L16,Datos!L16+Datos!AF16)," - ")</f>
        <v>2369</v>
      </c>
      <c r="I16" s="1044" t="str">
        <f>IF(ISNUMBER(Datos!AS16/Datos!BM16),Datos!AS16/Datos!BM16," - ")</f>
        <v xml:space="preserve"> - </v>
      </c>
      <c r="J16" s="1045">
        <f>IF(ISNUMBER(Datos!BY16/Datos!CN16),Datos!BY16/Datos!CN16," - ")</f>
        <v>0</v>
      </c>
      <c r="K16" s="230">
        <f t="shared" si="3"/>
        <v>8.3714547118023785E-2</v>
      </c>
      <c r="L16" s="1025">
        <f>IF(ISNUMBER(NºAsuntos!I16/NºAsuntos!G16),(NºAsuntos!I16/NºAsuntos!G16)*11," - ")</f>
        <v>14.582540570789032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171</v>
      </c>
      <c r="D17" s="225">
        <f>IF(ISNUMBER(IF(D_I="SI",Datos!I17,Datos!I17+Datos!AC17)),IF(D_I="SI",Datos!I17,Datos!I17+Datos!AC17)," - ")</f>
        <v>171</v>
      </c>
      <c r="E17" s="226">
        <f>IF(ISNUMBER(IF(D_I="SI",Datos!J17,Datos!J17+Datos!AD17)),IF(D_I="SI",Datos!J17,Datos!J17+Datos!AD17)," - ")</f>
        <v>131</v>
      </c>
      <c r="F17" s="226">
        <f>IF(ISNUMBER(IF(D_I="SI",Datos!K17,Datos!K17+Datos!AE17)),IF(D_I="SI",Datos!K17,Datos!K17+Datos!AE17)," - ")</f>
        <v>134</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-1.7543859649122806E-2</v>
      </c>
      <c r="L17" s="1025">
        <f>IF(ISNUMBER(NºAsuntos!I17/NºAsuntos!G17),(NºAsuntos!I17/NºAsuntos!G17)*11," - ")</f>
        <v>13.791044776119403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2357</v>
      </c>
      <c r="D18" s="1049">
        <f>SUBTOTAL(9,D15:D17)</f>
        <v>2313</v>
      </c>
      <c r="E18" s="1050">
        <f>SUBTOTAL(9,E15:E17)</f>
        <v>2101</v>
      </c>
      <c r="F18" s="1050">
        <f>SUBTOTAL(9,F15:F17)</f>
        <v>1921</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2437</v>
      </c>
      <c r="D19" s="1071">
        <f>SUBTOTAL(9,D9:D18)</f>
        <v>2393</v>
      </c>
      <c r="E19" s="1072">
        <f>SUBTOTAL(9,E9:E18)</f>
        <v>2153</v>
      </c>
      <c r="F19" s="1072">
        <f>SUBTOTAL(9,F9:F18)</f>
        <v>1974</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jSEEslJE4KDZsOYwxes0+l04wxWqlIG4b8OlGdXoiFYe4gofcKM4iVpXK9iIEcwAxZ/oZTA0zDb/o06zHPofA==" saltValue="V14UO8xOsG5nSn7UI4DU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9d2fDJQ6i9t4vbywbICV1+iTjyjAsWlSqh0ZKN7mPcxsf9IzItHasblRYbDeGi8eSEwAgfbpR8xaSDdOoacvA==" saltValue="ni/g9RqJpFz/ZjTJGlYq5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80</v>
      </c>
      <c r="J10" s="181">
        <v>52</v>
      </c>
      <c r="K10" s="181">
        <v>53</v>
      </c>
      <c r="L10" s="181">
        <v>79</v>
      </c>
      <c r="M10" s="181">
        <v>14</v>
      </c>
      <c r="N10" s="181">
        <v>18</v>
      </c>
      <c r="O10" s="181">
        <v>9</v>
      </c>
      <c r="P10" s="181">
        <v>3</v>
      </c>
      <c r="Q10" s="181">
        <v>9</v>
      </c>
      <c r="R10" s="181">
        <v>71</v>
      </c>
      <c r="S10" s="181">
        <v>84</v>
      </c>
      <c r="T10" s="181">
        <v>17</v>
      </c>
      <c r="U10" s="181">
        <v>27</v>
      </c>
      <c r="V10" s="181">
        <v>74</v>
      </c>
      <c r="W10" s="181">
        <v>6</v>
      </c>
      <c r="X10" s="188">
        <v>27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84</v>
      </c>
      <c r="AZ10" s="129">
        <f t="shared" si="0"/>
        <v>17</v>
      </c>
      <c r="BA10" s="129">
        <f t="shared" si="0"/>
        <v>27</v>
      </c>
      <c r="BB10" s="129">
        <f t="shared" si="0"/>
        <v>74</v>
      </c>
      <c r="BC10" s="125">
        <f t="shared" si="0"/>
        <v>6</v>
      </c>
      <c r="BD10" s="126">
        <f>IF(ISNUMBER(BA10/AZ10),BA10/AZ10," - ")</f>
        <v>1.588235294117647</v>
      </c>
      <c r="BE10" s="127">
        <f>IF(ISNUMBER(BB10/BA10),BB10/BA10, " - ")</f>
        <v>2.7407407407407409</v>
      </c>
      <c r="BF10" s="127">
        <f>IF(ISNUMBER(BC10/BA10),BC10/BA10, " - ")</f>
        <v>0.22222222222222221</v>
      </c>
      <c r="BG10" s="196">
        <f>IF(ISNUMBER((AY10+AZ10)/BA10),(AY10+AZ10)/BA10," - ")</f>
        <v>3.7407407407407409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6892</v>
      </c>
      <c r="J12" s="183">
        <v>2448</v>
      </c>
      <c r="K12" s="183">
        <v>2273</v>
      </c>
      <c r="L12" s="183">
        <v>6851</v>
      </c>
      <c r="M12" s="183">
        <v>443</v>
      </c>
      <c r="N12" s="183">
        <v>1202</v>
      </c>
      <c r="O12" s="181">
        <v>739</v>
      </c>
      <c r="P12" s="183">
        <v>527</v>
      </c>
      <c r="Q12" s="183">
        <v>300</v>
      </c>
      <c r="R12" s="183">
        <v>8594</v>
      </c>
      <c r="S12" s="183">
        <v>6963</v>
      </c>
      <c r="T12" s="183">
        <v>2136</v>
      </c>
      <c r="U12" s="183">
        <v>1790</v>
      </c>
      <c r="V12" s="183">
        <v>7282</v>
      </c>
      <c r="W12" s="183">
        <v>323</v>
      </c>
      <c r="X12" s="189">
        <v>1114</v>
      </c>
      <c r="Y12" s="191">
        <v>337</v>
      </c>
      <c r="Z12" s="181">
        <v>248</v>
      </c>
      <c r="AA12" s="181">
        <v>244</v>
      </c>
      <c r="AB12" s="181">
        <v>332</v>
      </c>
      <c r="AC12" s="183">
        <v>0</v>
      </c>
      <c r="AD12" s="183">
        <v>0</v>
      </c>
      <c r="AE12" s="183">
        <v>0</v>
      </c>
      <c r="AF12" s="189">
        <v>0</v>
      </c>
      <c r="AG12" s="202">
        <v>437</v>
      </c>
      <c r="AH12" s="183">
        <v>324</v>
      </c>
      <c r="AI12" s="183">
        <v>293</v>
      </c>
      <c r="AJ12" s="203">
        <v>468</v>
      </c>
      <c r="AK12" s="182">
        <v>0</v>
      </c>
      <c r="AL12" s="183">
        <v>0</v>
      </c>
      <c r="AM12" s="183">
        <v>0</v>
      </c>
      <c r="AN12" s="189">
        <v>0</v>
      </c>
      <c r="AO12" s="259">
        <v>8</v>
      </c>
      <c r="AP12" s="155">
        <v>8</v>
      </c>
      <c r="AQ12" s="155">
        <v>8</v>
      </c>
      <c r="AR12" s="154">
        <v>8</v>
      </c>
      <c r="AS12" s="340" t="s">
        <v>802</v>
      </c>
      <c r="AT12" s="203"/>
      <c r="AU12" s="202"/>
      <c r="AV12" s="203"/>
      <c r="AW12" s="202"/>
      <c r="AX12" s="203"/>
      <c r="AY12" s="126">
        <f t="shared" si="1"/>
        <v>7400</v>
      </c>
      <c r="AZ12" s="127">
        <f t="shared" si="1"/>
        <v>2460</v>
      </c>
      <c r="BA12" s="127">
        <f t="shared" si="1"/>
        <v>2083</v>
      </c>
      <c r="BB12" s="127">
        <f t="shared" si="1"/>
        <v>7750</v>
      </c>
      <c r="BC12" s="125">
        <f>IF(ISNUMBER(X12),X12," - ")</f>
        <v>1114</v>
      </c>
      <c r="BD12" s="126">
        <f t="shared" si="2"/>
        <v>0.84674796747967485</v>
      </c>
      <c r="BE12" s="127">
        <f t="shared" si="3"/>
        <v>3.7205952952472394</v>
      </c>
      <c r="BF12" s="127">
        <f t="shared" si="4"/>
        <v>0.5348055688910226</v>
      </c>
      <c r="BG12" s="196">
        <f t="shared" si="5"/>
        <v>4.7335573691790689</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6972</v>
      </c>
      <c r="J13" s="184">
        <f t="shared" si="6"/>
        <v>2500</v>
      </c>
      <c r="K13" s="184">
        <f t="shared" si="6"/>
        <v>2326</v>
      </c>
      <c r="L13" s="184">
        <f t="shared" si="6"/>
        <v>6930</v>
      </c>
      <c r="M13" s="184">
        <f t="shared" si="6"/>
        <v>457</v>
      </c>
      <c r="N13" s="184">
        <f t="shared" si="6"/>
        <v>1220</v>
      </c>
      <c r="O13" s="184">
        <f t="shared" si="6"/>
        <v>748</v>
      </c>
      <c r="P13" s="184">
        <f t="shared" si="6"/>
        <v>530</v>
      </c>
      <c r="Q13" s="184">
        <f t="shared" si="6"/>
        <v>309</v>
      </c>
      <c r="R13" s="184">
        <f t="shared" si="6"/>
        <v>8665</v>
      </c>
      <c r="S13" s="184">
        <f t="shared" si="6"/>
        <v>7047</v>
      </c>
      <c r="T13" s="184">
        <f t="shared" si="6"/>
        <v>2153</v>
      </c>
      <c r="U13" s="184">
        <f t="shared" si="6"/>
        <v>1817</v>
      </c>
      <c r="V13" s="184">
        <f t="shared" si="6"/>
        <v>7356</v>
      </c>
      <c r="W13" s="184">
        <f t="shared" si="6"/>
        <v>329</v>
      </c>
      <c r="X13" s="184">
        <f t="shared" si="6"/>
        <v>1141</v>
      </c>
      <c r="Y13" s="184">
        <f t="shared" si="6"/>
        <v>337</v>
      </c>
      <c r="Z13" s="184">
        <f t="shared" si="6"/>
        <v>248</v>
      </c>
      <c r="AA13" s="184">
        <f t="shared" si="6"/>
        <v>244</v>
      </c>
      <c r="AB13" s="184">
        <f t="shared" si="6"/>
        <v>332</v>
      </c>
      <c r="AC13" s="184">
        <f t="shared" si="6"/>
        <v>0</v>
      </c>
      <c r="AD13" s="184">
        <f t="shared" si="6"/>
        <v>0</v>
      </c>
      <c r="AE13" s="184">
        <f t="shared" si="6"/>
        <v>0</v>
      </c>
      <c r="AF13" s="184">
        <f>SUBTOTAL(9,AF9:AF12)</f>
        <v>0</v>
      </c>
      <c r="AG13" s="184">
        <f t="shared" ref="AG13:AT13" si="7">SUBTOTAL(9,AG8:AG12)</f>
        <v>437</v>
      </c>
      <c r="AH13" s="184">
        <f t="shared" si="7"/>
        <v>324</v>
      </c>
      <c r="AI13" s="184">
        <f t="shared" si="7"/>
        <v>293</v>
      </c>
      <c r="AJ13" s="184">
        <f t="shared" si="7"/>
        <v>468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7484</v>
      </c>
      <c r="AZ13" s="184">
        <f>SUBTOTAL(9,AZ8:AZ12)</f>
        <v>2477</v>
      </c>
      <c r="BA13" s="184">
        <f>SUBTOTAL(9,BA8:BA12)</f>
        <v>2110</v>
      </c>
      <c r="BB13" s="184">
        <f>SUBTOTAL(9,BB8:BB12)</f>
        <v>7824</v>
      </c>
      <c r="BC13" s="184">
        <f>SUBTOTAL(9,BC8:BC12)</f>
        <v>1120</v>
      </c>
      <c r="BD13" s="205">
        <f>IF(ISNUMBER(BA13/AZ13),BA13/AZ13," - ")</f>
        <v>0.85183689947517161</v>
      </c>
      <c r="BE13" s="206">
        <f>IF(ISNUMBER(BB13/BA13),BB13/BA13, " - ")</f>
        <v>3.7080568720379148</v>
      </c>
      <c r="BF13" s="206">
        <f>IF(ISNUMBER(BC13/BA13),BC13/BA13, " - ")</f>
        <v>0.53080568720379151</v>
      </c>
      <c r="BG13" s="207">
        <f>IF(ISNUMBER((AY13+AZ13)/BA13),(AY13+AZ13)/BA13," - ")</f>
        <v>4.7208530805687206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2142</v>
      </c>
      <c r="J16" s="183">
        <v>1970</v>
      </c>
      <c r="K16" s="183">
        <v>1787</v>
      </c>
      <c r="L16" s="183">
        <v>2369</v>
      </c>
      <c r="M16" s="183">
        <v>264</v>
      </c>
      <c r="N16" s="183">
        <v>975</v>
      </c>
      <c r="O16" s="181">
        <v>73</v>
      </c>
      <c r="P16" s="183">
        <v>128</v>
      </c>
      <c r="Q16" s="183">
        <v>147</v>
      </c>
      <c r="R16" s="183">
        <v>349</v>
      </c>
      <c r="S16" s="183">
        <v>1797</v>
      </c>
      <c r="T16" s="183">
        <v>2104</v>
      </c>
      <c r="U16" s="183">
        <v>2027</v>
      </c>
      <c r="V16" s="183">
        <v>1804</v>
      </c>
      <c r="W16" s="183">
        <v>303</v>
      </c>
      <c r="X16" s="189">
        <v>1135</v>
      </c>
      <c r="Y16" s="202">
        <v>0</v>
      </c>
      <c r="Z16" s="183">
        <v>0</v>
      </c>
      <c r="AA16" s="183">
        <v>0</v>
      </c>
      <c r="AB16" s="183">
        <v>0</v>
      </c>
      <c r="AC16" s="183">
        <v>4</v>
      </c>
      <c r="AD16" s="183">
        <v>30</v>
      </c>
      <c r="AE16" s="183">
        <v>31</v>
      </c>
      <c r="AF16" s="189">
        <v>3</v>
      </c>
      <c r="AG16" s="202">
        <v>0</v>
      </c>
      <c r="AH16" s="183">
        <v>0</v>
      </c>
      <c r="AI16" s="183">
        <v>0</v>
      </c>
      <c r="AJ16" s="203">
        <v>0</v>
      </c>
      <c r="AK16" s="182">
        <v>24</v>
      </c>
      <c r="AL16" s="183">
        <v>39</v>
      </c>
      <c r="AM16" s="183">
        <v>40</v>
      </c>
      <c r="AN16" s="189">
        <v>5</v>
      </c>
      <c r="AO16" s="259">
        <v>8</v>
      </c>
      <c r="AP16" s="155">
        <v>8</v>
      </c>
      <c r="AQ16" s="155">
        <v>8</v>
      </c>
      <c r="AR16" s="155">
        <v>8</v>
      </c>
      <c r="AS16" s="340" t="s">
        <v>487</v>
      </c>
      <c r="AT16" s="203"/>
      <c r="AU16" s="202"/>
      <c r="AV16" s="203"/>
      <c r="AW16" s="202"/>
      <c r="AX16" s="203"/>
      <c r="AY16" s="126">
        <f t="shared" si="9"/>
        <v>1797</v>
      </c>
      <c r="AZ16" s="127">
        <f t="shared" si="9"/>
        <v>2104</v>
      </c>
      <c r="BA16" s="127">
        <f t="shared" si="9"/>
        <v>2027</v>
      </c>
      <c r="BB16" s="127">
        <f t="shared" si="9"/>
        <v>1804</v>
      </c>
      <c r="BC16" s="125">
        <f>IF(ISNUMBER(W16),W16," - ")</f>
        <v>303</v>
      </c>
      <c r="BD16" s="126">
        <f t="shared" ref="BD16" si="11">IF(ISNUMBER(BA16/AZ16),BA16/AZ16," - ")</f>
        <v>0.96340304182509506</v>
      </c>
      <c r="BE16" s="127">
        <f t="shared" ref="BE16" si="12">IF(ISNUMBER(BB16/BA16),BB16/BA16, " - ")</f>
        <v>0.889985199802664</v>
      </c>
      <c r="BF16" s="127">
        <f t="shared" ref="BF16" si="13">IF(ISNUMBER(BC16/BA16),BC16/BA16, " - ")</f>
        <v>0.14948199309324126</v>
      </c>
      <c r="BG16" s="196">
        <f t="shared" si="10"/>
        <v>1.9245189935865812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171</v>
      </c>
      <c r="J17" s="183">
        <v>131</v>
      </c>
      <c r="K17" s="183">
        <v>134</v>
      </c>
      <c r="L17" s="183">
        <v>168</v>
      </c>
      <c r="M17" s="183">
        <v>9</v>
      </c>
      <c r="N17" s="183">
        <v>85</v>
      </c>
      <c r="O17" s="183">
        <v>0</v>
      </c>
      <c r="P17" s="183">
        <v>0</v>
      </c>
      <c r="Q17" s="183">
        <v>0</v>
      </c>
      <c r="R17" s="183">
        <v>0</v>
      </c>
      <c r="S17" s="183">
        <v>196</v>
      </c>
      <c r="T17" s="183">
        <v>138</v>
      </c>
      <c r="U17" s="183">
        <v>143</v>
      </c>
      <c r="V17" s="183">
        <v>191</v>
      </c>
      <c r="W17" s="183">
        <v>12</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196</v>
      </c>
      <c r="AZ17" s="129">
        <f t="shared" si="14"/>
        <v>138</v>
      </c>
      <c r="BA17" s="129">
        <f t="shared" si="14"/>
        <v>143</v>
      </c>
      <c r="BB17" s="129">
        <f t="shared" si="14"/>
        <v>191</v>
      </c>
      <c r="BC17" s="125">
        <f>IF(ISNUMBER(W17),W17," - ")</f>
        <v>12</v>
      </c>
      <c r="BD17" s="126">
        <f>IF(ISNUMBER(BA17/AZ17),BA17/AZ17," - ")</f>
        <v>1.036231884057971</v>
      </c>
      <c r="BE17" s="127">
        <f>IF(ISNUMBER(BB17/BA17),BB17/BA17, " - ")</f>
        <v>1.3356643356643356</v>
      </c>
      <c r="BF17" s="127">
        <f>IF(ISNUMBER(BC17/BA17),BC17/BA17, " - ")</f>
        <v>8.3916083916083919E-2</v>
      </c>
      <c r="BG17" s="196">
        <f>IF(ISNUMBER((AY17+AZ17)/BA17),(AY17+AZ17)/BA17," - ")</f>
        <v>2.3356643356643358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2313</v>
      </c>
      <c r="J18" s="184">
        <f t="shared" si="15"/>
        <v>2101</v>
      </c>
      <c r="K18" s="184">
        <f t="shared" si="15"/>
        <v>1921</v>
      </c>
      <c r="L18" s="184">
        <f t="shared" si="15"/>
        <v>2537</v>
      </c>
      <c r="M18" s="184">
        <f t="shared" si="15"/>
        <v>273</v>
      </c>
      <c r="N18" s="184">
        <f t="shared" si="15"/>
        <v>1060</v>
      </c>
      <c r="O18" s="184">
        <f t="shared" si="15"/>
        <v>73</v>
      </c>
      <c r="P18" s="184">
        <f t="shared" si="15"/>
        <v>128</v>
      </c>
      <c r="Q18" s="184">
        <f t="shared" si="15"/>
        <v>147</v>
      </c>
      <c r="R18" s="184">
        <f t="shared" si="15"/>
        <v>349</v>
      </c>
      <c r="S18" s="184">
        <f t="shared" si="15"/>
        <v>1993</v>
      </c>
      <c r="T18" s="184">
        <f t="shared" si="15"/>
        <v>2242</v>
      </c>
      <c r="U18" s="184">
        <f t="shared" si="15"/>
        <v>2170</v>
      </c>
      <c r="V18" s="184">
        <f t="shared" si="15"/>
        <v>1995</v>
      </c>
      <c r="W18" s="184">
        <f t="shared" si="15"/>
        <v>315</v>
      </c>
      <c r="X18" s="184">
        <f t="shared" si="15"/>
        <v>1223</v>
      </c>
      <c r="Y18" s="184">
        <f t="shared" si="15"/>
        <v>0</v>
      </c>
      <c r="Z18" s="184">
        <f t="shared" si="15"/>
        <v>0</v>
      </c>
      <c r="AA18" s="184">
        <f t="shared" si="15"/>
        <v>0</v>
      </c>
      <c r="AB18" s="184">
        <f t="shared" si="15"/>
        <v>0</v>
      </c>
      <c r="AC18" s="184">
        <f t="shared" si="15"/>
        <v>4</v>
      </c>
      <c r="AD18" s="184">
        <f t="shared" si="15"/>
        <v>30</v>
      </c>
      <c r="AE18" s="184">
        <f t="shared" si="15"/>
        <v>31</v>
      </c>
      <c r="AF18" s="184">
        <f t="shared" si="15"/>
        <v>3</v>
      </c>
      <c r="AG18" s="184">
        <f t="shared" si="15"/>
        <v>0</v>
      </c>
      <c r="AH18" s="184">
        <f t="shared" si="15"/>
        <v>0</v>
      </c>
      <c r="AI18" s="184">
        <f t="shared" si="15"/>
        <v>0</v>
      </c>
      <c r="AJ18" s="184">
        <f t="shared" si="15"/>
        <v>0</v>
      </c>
      <c r="AK18" s="184">
        <f t="shared" si="15"/>
        <v>24</v>
      </c>
      <c r="AL18" s="184">
        <f t="shared" si="15"/>
        <v>39</v>
      </c>
      <c r="AM18" s="184">
        <f t="shared" si="15"/>
        <v>40</v>
      </c>
      <c r="AN18" s="184">
        <f t="shared" si="15"/>
        <v>5</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1993</v>
      </c>
      <c r="AZ18" s="184">
        <f>SUBTOTAL(9,AZ14:AZ17)</f>
        <v>2242</v>
      </c>
      <c r="BA18" s="184">
        <f>SUBTOTAL(9,BA14:BA17)</f>
        <v>2170</v>
      </c>
      <c r="BB18" s="184">
        <f>SUBTOTAL(9,BB14:BB17)</f>
        <v>1995</v>
      </c>
      <c r="BC18" s="184">
        <f>SUBTOTAL(9,BC14:BC17)</f>
        <v>315</v>
      </c>
      <c r="BD18" s="205">
        <f>IF(ISNUMBER(BA18/AZ18),BA18/AZ18," - ")</f>
        <v>0.96788581623550396</v>
      </c>
      <c r="BE18" s="206">
        <f>IF(ISNUMBER(BB18/BA18),BB18/BA18, " - ")</f>
        <v>0.91935483870967738</v>
      </c>
      <c r="BF18" s="206">
        <f>IF(ISNUMBER(BC18/BA18),BC18/BA18, " - ")</f>
        <v>0.14516129032258066</v>
      </c>
      <c r="BG18" s="207">
        <f>IF(ISNUMBER((AY18+AZ18)/BA18),(AY18+AZ18)/BA18," - ")</f>
        <v>1.9516129032258065</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9285</v>
      </c>
      <c r="J19" s="134">
        <f t="shared" si="18"/>
        <v>4601</v>
      </c>
      <c r="K19" s="134">
        <f t="shared" si="18"/>
        <v>4247</v>
      </c>
      <c r="L19" s="134">
        <f t="shared" si="18"/>
        <v>9467</v>
      </c>
      <c r="M19" s="134">
        <f t="shared" si="18"/>
        <v>730</v>
      </c>
      <c r="N19" s="134">
        <f t="shared" si="18"/>
        <v>2280</v>
      </c>
      <c r="O19" s="134">
        <f t="shared" si="18"/>
        <v>821</v>
      </c>
      <c r="P19" s="134">
        <f t="shared" si="18"/>
        <v>658</v>
      </c>
      <c r="Q19" s="134">
        <f t="shared" si="18"/>
        <v>456</v>
      </c>
      <c r="R19" s="134">
        <f t="shared" si="18"/>
        <v>9014</v>
      </c>
      <c r="S19" s="134">
        <f t="shared" si="18"/>
        <v>9040</v>
      </c>
      <c r="T19" s="134">
        <f t="shared" si="18"/>
        <v>4395</v>
      </c>
      <c r="U19" s="134">
        <f t="shared" si="18"/>
        <v>3987</v>
      </c>
      <c r="V19" s="134">
        <f t="shared" si="18"/>
        <v>9351</v>
      </c>
      <c r="W19" s="134">
        <f t="shared" si="18"/>
        <v>644</v>
      </c>
      <c r="X19" s="134">
        <f t="shared" si="18"/>
        <v>2364</v>
      </c>
      <c r="Y19" s="134">
        <f t="shared" si="18"/>
        <v>337</v>
      </c>
      <c r="Z19" s="134">
        <f t="shared" si="18"/>
        <v>248</v>
      </c>
      <c r="AA19" s="134">
        <f t="shared" si="18"/>
        <v>244</v>
      </c>
      <c r="AB19" s="134">
        <f t="shared" si="18"/>
        <v>332</v>
      </c>
      <c r="AC19" s="134">
        <f t="shared" si="18"/>
        <v>4</v>
      </c>
      <c r="AD19" s="134">
        <f t="shared" si="18"/>
        <v>30</v>
      </c>
      <c r="AE19" s="134">
        <f t="shared" si="18"/>
        <v>31</v>
      </c>
      <c r="AF19" s="134">
        <f t="shared" si="18"/>
        <v>3</v>
      </c>
      <c r="AG19" s="134">
        <f t="shared" si="18"/>
        <v>437</v>
      </c>
      <c r="AH19" s="134">
        <f t="shared" si="18"/>
        <v>324</v>
      </c>
      <c r="AI19" s="134">
        <f t="shared" si="18"/>
        <v>293</v>
      </c>
      <c r="AJ19" s="134">
        <f t="shared" si="18"/>
        <v>468</v>
      </c>
      <c r="AK19" s="134">
        <f t="shared" si="18"/>
        <v>24</v>
      </c>
      <c r="AL19" s="134">
        <f t="shared" si="18"/>
        <v>39</v>
      </c>
      <c r="AM19" s="134">
        <f t="shared" si="18"/>
        <v>40</v>
      </c>
      <c r="AN19" s="210">
        <f t="shared" si="18"/>
        <v>5</v>
      </c>
      <c r="AO19" s="211">
        <v>9</v>
      </c>
      <c r="AP19" s="211">
        <v>8</v>
      </c>
      <c r="AQ19" s="211">
        <v>8</v>
      </c>
      <c r="AR19" s="211">
        <v>8</v>
      </c>
      <c r="AS19" s="153">
        <f t="shared" si="18"/>
        <v>0</v>
      </c>
      <c r="AT19" s="153">
        <f t="shared" si="18"/>
        <v>0</v>
      </c>
      <c r="AU19" s="211"/>
      <c r="AV19" s="212"/>
      <c r="AW19" s="211"/>
      <c r="AX19" s="212"/>
      <c r="AY19" s="133">
        <f>SUBTOTAL(9,AY9:AY18)</f>
        <v>9477</v>
      </c>
      <c r="AZ19" s="134">
        <f>SUBTOTAL(9,AZ9:AZ18)</f>
        <v>4719</v>
      </c>
      <c r="BA19" s="134">
        <f>SUBTOTAL(9,BA9:BA18)</f>
        <v>4280</v>
      </c>
      <c r="BB19" s="134">
        <f>SUBTOTAL(9,BB9:BB18)</f>
        <v>9819</v>
      </c>
      <c r="BC19" s="135">
        <f>SUBTOTAL(9,BC9:BC18)</f>
        <v>1435</v>
      </c>
      <c r="BD19" s="213">
        <f>IF(ISNUMBER(BA19/AZ19),BA19/AZ19," - ")</f>
        <v>0.90697181606272514</v>
      </c>
      <c r="BE19" s="210">
        <f>IF(ISNUMBER(BB19/BA19),BB19/BA19, " - ")</f>
        <v>2.2941588785046729</v>
      </c>
      <c r="BF19" s="210">
        <f>IF(ISNUMBER(BC19/BA19),BC19/BA19, " - ")</f>
        <v>0.33528037383177572</v>
      </c>
      <c r="BG19" s="135">
        <f>IF(ISNUMBER((AY19+AZ19)/BA19),(AY19+AZ19)/BA19," - ")</f>
        <v>3.3168224299065421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hIlA48dD0sIMQiJXFI5i/aTkMr1A1fdf8SwYOhKDvsPz3lo2f576DiSJys9qQmZ8SHHCcWSVLyLtV9ZoJ3cw==" saltValue="8amKfrgYf3OtEEAAcUKkT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iFR/QWYxAzot21aImTYd5Qvad8vZPRGTm1K4NjSWvBkIsk1/3NMj5t/C3PLbkhlBypSpmNu88ivhV7mzvoWA==" saltValue="WY1U2Q9xIRanyh+eoHNM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80</v>
      </c>
      <c r="G10" s="333">
        <f>IF(ISNUMBER(Datos!I10),Datos!I10," - ")</f>
        <v>80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53</v>
      </c>
      <c r="AC10" s="226">
        <f>IF(ISNUMBER(Datos!Q10),Datos!Q10," - ")</f>
        <v>9</v>
      </c>
      <c r="AD10" s="334"/>
      <c r="AE10" s="484"/>
      <c r="AF10" s="332">
        <f>IF(ISNUMBER(Datos!L10),Datos!L10,"-")</f>
        <v>79</v>
      </c>
      <c r="AG10" s="334"/>
      <c r="AH10" s="334"/>
      <c r="AI10" s="334"/>
      <c r="AJ10" s="334"/>
      <c r="AK10" s="334"/>
      <c r="AL10" s="479"/>
      <c r="AM10" s="335">
        <f>IF(ISNUMBER(Datos!R10),Datos!R10," - ")</f>
        <v>71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18</v>
      </c>
      <c r="BE10" s="229" t="str">
        <f>IF(ISNUMBER(Datos!BW10),Datos!BW10," - ")</f>
        <v xml:space="preserve"> - </v>
      </c>
      <c r="BF10" s="228" t="str">
        <f>IF(ISNUMBER(Datos!BX10),Datos!BX10," - ")</f>
        <v xml:space="preserve"> - </v>
      </c>
      <c r="BG10" s="243">
        <f>IF(ISNUMBER(Datos!K10/Datos!J10),Datos!K10/Datos!J10," - ")</f>
        <v>1.0192307692307692</v>
      </c>
      <c r="BH10" s="260">
        <f>IF(ISNUMBER(((Datos!L10/Datos!K10)*11)/factor_trimestre),((Datos!L10/Datos!K10)*11)/factor_trimestre," - ")</f>
        <v>4.4716981132075473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-7.792207792207792E-2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248</v>
      </c>
      <c r="O12" s="334"/>
      <c r="P12" s="334"/>
      <c r="Q12" s="226">
        <f>IF(ISNUMBER(Datos!P12),Datos!P12,0)</f>
        <v>527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332</v>
      </c>
      <c r="AI12" s="334" t="str">
        <f>IF(ISNUMBER(Datos!CD12),Datos!CD12,"-")</f>
        <v>-</v>
      </c>
      <c r="AJ12" s="334" t="str">
        <f>IF(ISNUMBER(Datos!EN12),Datos!EN12," - ")</f>
        <v xml:space="preserve"> - </v>
      </c>
      <c r="AK12" s="334"/>
      <c r="AL12" s="479"/>
      <c r="AM12" s="335">
        <f>IF(ISNUMBER(Datos!R12),Datos!R12," - ")</f>
        <v>8594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443</v>
      </c>
      <c r="BD12" s="229">
        <f>IF(ISNUMBER(Datos!N12),Datos!N12," - ")</f>
        <v>1202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0.9336053412462908</v>
      </c>
      <c r="BH12" s="260">
        <f>IF(ISNUMBER(((IF(J_V="SI",Datos!L12/Datos!K12,(Datos!L12+Datos!AB12)/(Datos!K12+Datos!AA12)))*11)/factor_trimestre),((IF(J_V="SI",Datos!L12/Datos!K12,(Datos!L12+Datos!AB12)/(Datos!K12+Datos!AA12)))*11)/factor_trimestre," - ")</f>
        <v>8.5613825983313472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2.7130393211425841E-2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80</v>
      </c>
      <c r="G13" s="898">
        <f t="shared" si="0"/>
        <v>80</v>
      </c>
      <c r="H13" s="899">
        <f t="shared" si="0"/>
        <v>0</v>
      </c>
      <c r="I13" s="898">
        <f t="shared" si="0"/>
        <v>0</v>
      </c>
      <c r="J13" s="867">
        <f t="shared" si="0"/>
        <v>0</v>
      </c>
      <c r="K13" s="867">
        <f t="shared" si="0"/>
        <v>0</v>
      </c>
      <c r="L13" s="899">
        <f t="shared" si="0"/>
        <v>0</v>
      </c>
      <c r="M13" s="899">
        <f t="shared" si="0"/>
        <v>0</v>
      </c>
      <c r="N13" s="899">
        <f t="shared" si="0"/>
        <v>248</v>
      </c>
      <c r="O13" s="900">
        <f t="shared" si="0"/>
        <v>0</v>
      </c>
      <c r="P13" s="900">
        <f t="shared" si="0"/>
        <v>0</v>
      </c>
      <c r="Q13" s="899">
        <f t="shared" si="0"/>
        <v>530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53</v>
      </c>
      <c r="AC13" s="899">
        <f t="shared" si="1"/>
        <v>309</v>
      </c>
      <c r="AD13" s="899">
        <f t="shared" si="1"/>
        <v>0</v>
      </c>
      <c r="AE13" s="899">
        <f t="shared" si="1"/>
        <v>0</v>
      </c>
      <c r="AF13" s="899">
        <f t="shared" si="1"/>
        <v>79</v>
      </c>
      <c r="AG13" s="899">
        <f t="shared" si="1"/>
        <v>0</v>
      </c>
      <c r="AH13" s="899">
        <f t="shared" si="1"/>
        <v>332</v>
      </c>
      <c r="AI13" s="899">
        <f t="shared" si="1"/>
        <v>0</v>
      </c>
      <c r="AJ13" s="899">
        <f t="shared" si="1"/>
        <v>0</v>
      </c>
      <c r="AK13" s="899">
        <f t="shared" si="1"/>
        <v>0</v>
      </c>
      <c r="AL13" s="899">
        <f t="shared" si="1"/>
        <v>0</v>
      </c>
      <c r="AM13" s="899">
        <f t="shared" si="1"/>
        <v>8665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457</v>
      </c>
      <c r="BD13" s="899">
        <f t="shared" si="1"/>
        <v>1220</v>
      </c>
      <c r="BE13" s="899">
        <f t="shared" si="1"/>
        <v>0</v>
      </c>
      <c r="BF13" s="899">
        <f t="shared" si="1"/>
        <v>0</v>
      </c>
      <c r="BG13" s="899">
        <f>IF(ISNUMBER(Datos!K13/Datos!J13),Datos!K13/Datos!J13," - ")</f>
        <v>0.9304</v>
      </c>
      <c r="BH13" s="903">
        <f>IF(ISNUMBER(((Datos!L13/Datos!K13)*11)/factor_trimestre),((Datos!L13/Datos!K13)*11)/factor_trimestre," - ")</f>
        <v>8.9380911435941535</v>
      </c>
      <c r="BI13" s="899">
        <f>IF(ISNUMBER('Resol  Asuntos'!D13/NºAsuntos!G13),'Resol  Asuntos'!D13/NºAsuntos!G13," - ")</f>
        <v>0.17782101167315176</v>
      </c>
      <c r="BJ13" s="899" t="str">
        <f>IF(ISNUMBER(Datos!CI13/Datos!CJ13),Datos!CI13/Datos!CJ13," - ")</f>
        <v xml:space="preserve"> - </v>
      </c>
      <c r="BK13" s="899">
        <f>SUBTOTAL(9,BK8:BK12)</f>
        <v>0</v>
      </c>
      <c r="BL13" s="899">
        <f>IF(ISNUMBER((I13-AB13+L13)/(F13)),(I13-AB13+L13)/(F13)," - ")</f>
        <v>-0.66249999999999998</v>
      </c>
      <c r="BM13" s="904">
        <f>SUBTOTAL(9,BM9:BM12)</f>
        <v>-5.0791684710652082E-2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2186</v>
      </c>
      <c r="G16" s="598">
        <f>IF(ISNUMBER(IF(D_I="SI",Datos!I16,Datos!I16+Datos!AC16)),IF(D_I="SI",Datos!I16,Datos!I16+Datos!AC16)," - ")</f>
        <v>2142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1787</v>
      </c>
      <c r="AC16" s="226">
        <f>IF(ISNUMBER(Datos!Q16),Datos!Q16," - ")</f>
        <v>147</v>
      </c>
      <c r="AD16" s="334"/>
      <c r="AE16" s="484"/>
      <c r="AF16" s="596">
        <f>IF(ISNUMBER(IF(D_I="SI",Datos!L16,Datos!L16+Datos!AF16)),IF(D_I="SI",Datos!L16,Datos!L16+Datos!AF16)," - ")</f>
        <v>2369</v>
      </c>
      <c r="AG16" s="334"/>
      <c r="AH16" s="334"/>
      <c r="AI16" s="334"/>
      <c r="AJ16" s="334"/>
      <c r="AK16" s="334"/>
      <c r="AL16" s="479"/>
      <c r="AM16" s="335">
        <f>IF(ISNUMBER(Datos!R16),Datos!R16," - ")</f>
        <v>349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264</v>
      </c>
      <c r="BD16" s="229">
        <f>IF(ISNUMBER(Datos!N16),Datos!N16," - ")</f>
        <v>975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0.90710659898477153</v>
      </c>
      <c r="BH16" s="260">
        <f>IF(ISNUMBER(((IF(D_I="SI",Datos!L16/Datos!K16,(Datos!L16+Datos!AF16)/(Datos!K16+Datos!AE16)))*11)/factor_trimestre),((IF(D_I="SI",Datos!L16/Datos!K16,(Datos!L16+Datos!AF16)/(Datos!K16+Datos!AE16)))*11)/factor_trimestre," - ")</f>
        <v>3.9770565193060996</v>
      </c>
      <c r="BI16" s="243">
        <f>IF(ISNUMBER('Resol  Asuntos'!D16/NºAsuntos!G16),'Resol  Asuntos'!D16/NºAsuntos!G16," - ")</f>
        <v>0.14773363178511473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134</v>
      </c>
      <c r="AC17" s="226">
        <f>IF(ISNUMBER(Datos!Q17),Datos!Q17," - ")</f>
        <v>0</v>
      </c>
      <c r="AD17" s="334"/>
      <c r="AE17" s="484"/>
      <c r="AF17" s="332">
        <f>IF(ISNUMBER(Datos!L17),Datos!L17,"-")</f>
        <v>168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1.0229007633587786</v>
      </c>
      <c r="BH17" s="260">
        <f>IF(ISNUMBER(((IF(D_I="SI",Datos!L17/Datos!K17,(Datos!L17+Datos!AF17)/(Datos!K17+Datos!AE17)))*11)/factor_trimestre),((IF(D_I="SI",Datos!L17/Datos!K17,(Datos!L17+Datos!AF17)/(Datos!K17+Datos!AE17)))*11)/factor_trimestre," - ")</f>
        <v>3.7611940298507465</v>
      </c>
      <c r="BI17" s="243">
        <f>IF(ISNUMBER('Resol  Asuntos'!D17/NºAsuntos!G17),'Resol  Asuntos'!D17/NºAsuntos!G17," - ")</f>
        <v>6.7164179104477612E-2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2186</v>
      </c>
      <c r="G18" s="898">
        <f>SUBTOTAL(9,G15:G17)</f>
        <v>2313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1921</v>
      </c>
      <c r="AC18" s="899">
        <f t="shared" si="4"/>
        <v>147</v>
      </c>
      <c r="AD18" s="899">
        <f t="shared" si="4"/>
        <v>0</v>
      </c>
      <c r="AE18" s="899">
        <f t="shared" si="4"/>
        <v>0</v>
      </c>
      <c r="AF18" s="899">
        <f t="shared" si="4"/>
        <v>2537</v>
      </c>
      <c r="AG18" s="899">
        <f t="shared" si="4"/>
        <v>0</v>
      </c>
      <c r="AH18" s="899">
        <f t="shared" si="4"/>
        <v>0</v>
      </c>
      <c r="AI18" s="899">
        <f t="shared" si="4"/>
        <v>0</v>
      </c>
      <c r="AJ18" s="899">
        <f t="shared" si="4"/>
        <v>0</v>
      </c>
      <c r="AK18" s="899">
        <f t="shared" si="4"/>
        <v>0</v>
      </c>
      <c r="AL18" s="899">
        <f t="shared" si="4"/>
        <v>0</v>
      </c>
      <c r="AM18" s="899">
        <f t="shared" si="4"/>
        <v>349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273</v>
      </c>
      <c r="BD18" s="899">
        <f t="shared" si="4"/>
        <v>1060</v>
      </c>
      <c r="BE18" s="899">
        <f t="shared" si="4"/>
        <v>0</v>
      </c>
      <c r="BF18" s="899">
        <f t="shared" si="4"/>
        <v>0</v>
      </c>
      <c r="BG18" s="899">
        <f>IF(ISNUMBER(Datos!K18/Datos!J18),Datos!K18/Datos!J18," - ")</f>
        <v>0.91432651118514996</v>
      </c>
      <c r="BH18" s="903">
        <f>IF(ISNUMBER(((Datos!L18/Datos!K18)*11)/factor_trimestre),((Datos!L18/Datos!K18)*11)/factor_trimestre," - ")</f>
        <v>3.9619989588755864</v>
      </c>
      <c r="BI18" s="899">
        <f>SUBTOTAL(9,BI15:BI17)</f>
        <v>0.21489781088959234</v>
      </c>
      <c r="BJ18" s="899">
        <f>SUBTOTAL(9,BJ15:BJ17)</f>
        <v>0</v>
      </c>
      <c r="BK18" s="899">
        <f>SUBTOTAL(9,BK15:BK17)</f>
        <v>0</v>
      </c>
      <c r="BL18" s="899">
        <f>IF(ISNUMBER((I18-AB18+L18)/(F18)),(I18-AB18+L18)/(F18)," - ")</f>
        <v>-0.87877401646843545</v>
      </c>
      <c r="BM18" s="905">
        <f>IF(ISNUMBER((Datos!P18-Datos!Q18)/(Datos!R18-Datos!P18+Datos!Q18)),(Datos!P18-Datos!Q18)/(Datos!R18-Datos!P18+Datos!Q18)," - ")</f>
        <v>-5.1630434782608696E-2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2266</v>
      </c>
      <c r="G19" s="820">
        <f t="shared" si="6"/>
        <v>2393</v>
      </c>
      <c r="H19" s="822">
        <f t="shared" si="6"/>
        <v>0</v>
      </c>
      <c r="I19" s="820">
        <f t="shared" si="6"/>
        <v>0</v>
      </c>
      <c r="J19" s="822">
        <f t="shared" si="6"/>
        <v>0</v>
      </c>
      <c r="K19" s="822">
        <f t="shared" si="6"/>
        <v>0</v>
      </c>
      <c r="L19" s="881">
        <f t="shared" si="6"/>
        <v>0</v>
      </c>
      <c r="M19" s="881">
        <f t="shared" si="6"/>
        <v>0</v>
      </c>
      <c r="N19" s="881">
        <f t="shared" si="6"/>
        <v>248</v>
      </c>
      <c r="O19" s="881">
        <f t="shared" si="6"/>
        <v>0</v>
      </c>
      <c r="P19" s="881">
        <f t="shared" si="6"/>
        <v>0</v>
      </c>
      <c r="Q19" s="822">
        <f t="shared" si="6"/>
        <v>658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1974</v>
      </c>
      <c r="AC19" s="821">
        <f t="shared" si="7"/>
        <v>456</v>
      </c>
      <c r="AD19" s="821">
        <f t="shared" si="7"/>
        <v>0</v>
      </c>
      <c r="AE19" s="821">
        <f t="shared" si="7"/>
        <v>0</v>
      </c>
      <c r="AF19" s="828">
        <f t="shared" si="7"/>
        <v>2616</v>
      </c>
      <c r="AG19" s="828">
        <f t="shared" si="7"/>
        <v>0</v>
      </c>
      <c r="AH19" s="828">
        <f t="shared" si="7"/>
        <v>332</v>
      </c>
      <c r="AI19" s="828">
        <f t="shared" si="7"/>
        <v>0</v>
      </c>
      <c r="AJ19" s="821">
        <f t="shared" si="7"/>
        <v>0</v>
      </c>
      <c r="AK19" s="828">
        <f t="shared" si="7"/>
        <v>0</v>
      </c>
      <c r="AL19" s="828">
        <f t="shared" si="7"/>
        <v>0</v>
      </c>
      <c r="AM19" s="828">
        <f t="shared" si="7"/>
        <v>9014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730</v>
      </c>
      <c r="BD19" s="820">
        <f t="shared" si="7"/>
        <v>2280</v>
      </c>
      <c r="BE19" s="820">
        <f t="shared" si="7"/>
        <v>0</v>
      </c>
      <c r="BF19" s="830">
        <f t="shared" si="7"/>
        <v>0</v>
      </c>
      <c r="BG19" s="915">
        <f>IF(ISNUMBER(Datos!K19/Datos!J19),Datos!K19/Datos!J19," - ")</f>
        <v>0.92306020430341229</v>
      </c>
      <c r="BH19" s="915">
        <f>IF(ISNUMBER(((Datos!L19/Datos!K19)*11)/factor_trimestre),((Datos!L19/Datos!K19)*11)/factor_trimestre," - ")</f>
        <v>6.6873086884859907</v>
      </c>
      <c r="BI19" s="813">
        <f>IF(ISNUMBER(Datos!J19/Datos!I19),Datos!J19/Datos!I19," - ")</f>
        <v>0.49553042541733977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-0.87113857016769636</v>
      </c>
      <c r="BM19" s="889">
        <f>IF(ISNUMBER((Datos!P19-Datos!Q19+R19)/(Datos!R19-Datos!P19+Datos!Q19-R19)),(Datos!P19-Datos!Q19+R19)/(Datos!R19-Datos!P19+Datos!Q19-R19)," - ")</f>
        <v>2.2923286427598728E-2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957.2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1215.8996669133519</v>
      </c>
      <c r="G21" s="552">
        <f>IF(ISNUMBER(STDEV(G8:G18)),STDEV(G8:G18),"-")</f>
        <v>1161.7890083831917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973.37598080084149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197.14630776828326</v>
      </c>
      <c r="BD21" s="551"/>
      <c r="BE21" s="551">
        <f>IF(ISNUMBER(STDEV(BE8:BE18)),STDEV(BE8:BE18),"-")</f>
        <v>0</v>
      </c>
      <c r="BF21" s="556">
        <f>IF(ISNUMBER(STDEV(BF8:BF18)),STDEV(BF8:BF18),"-")</f>
        <v>0</v>
      </c>
      <c r="BG21" s="775">
        <f>IF(ISNUMBER(STDEV(BG8:BG18)),STDEV(BG8:BG18),"-")</f>
        <v>5.2433049108535877E-2</v>
      </c>
      <c r="BH21" s="776">
        <f>IF(ISNUMBER(STDEV(BH8:BH18)),STDEV(BH8:BH18),"-")</f>
        <v>2.4447108092357057</v>
      </c>
      <c r="BI21" s="249">
        <f>IF(ISNUMBER(STDEV(BI8:BI18)),STDEV(BI8:BI18),"-")</f>
        <v>6.2817568988334904E-2</v>
      </c>
      <c r="BJ21" s="230" t="str">
        <f>IF(ISNUMBER(BL21/BM21),BL21/BM21," - ")</f>
        <v xml:space="preserve"> - </v>
      </c>
      <c r="BK21" s="575"/>
      <c r="BL21" s="559">
        <f>IF(ISNUMBER(STDEV(BL8:BL18)),STDEV(BL8:BL18),"-")</f>
        <v>0.15292882363928156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cSH+Rey3Kbet6EZnWmyhhZZ+4DD+BKzHtDththxr+tKUPvlDROm01SogCVznwtC+B69D86bNkUnlY5ue68O9Q==" saltValue="TW4zo+M9WexVSvvlpbFo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NAVALCARNERO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80</v>
      </c>
      <c r="G10" s="225">
        <f>IF(ISNUMBER(Datos!I10),Datos!I10," - ")</f>
        <v>80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53</v>
      </c>
      <c r="Z10" s="619">
        <f>IF(ISNUMBER(Datos!Q10),Datos!Q10," - ")</f>
        <v>9</v>
      </c>
      <c r="AA10" s="332">
        <f>IF(ISNUMBER(Datos!L10),Datos!L10,"-")</f>
        <v>79</v>
      </c>
      <c r="AB10" s="334"/>
      <c r="AC10" s="334"/>
      <c r="AD10" s="484"/>
      <c r="AE10" s="484">
        <f>IF(ISNUMBER(Datos!R10),Datos!R10," - ")</f>
        <v>71</v>
      </c>
      <c r="AF10" s="229" t="str">
        <f>IF(ISNUMBER(Datos!BV10),Datos!BV10," - ")</f>
        <v xml:space="preserve"> - </v>
      </c>
      <c r="AG10" s="225" t="str">
        <f>IF(ISNUMBER(Datos!DV10),Datos!DV10," - ")</f>
        <v xml:space="preserve"> - </v>
      </c>
      <c r="AH10" s="298"/>
      <c r="AI10" s="227"/>
      <c r="AJ10" s="225">
        <f>IF(ISNUMBER(Datos!M10),Datos!M10," - ")</f>
        <v>14</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4.4716981132075473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-7.792207792207792E-2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300</v>
      </c>
      <c r="AA12" s="332" t="str">
        <f>IF(ISNUMBER(IF(J_V="SI",Datos!L12,Datos!L12+Datos!AB12)-IF(Monitorios="SI",Datos!CD12,0)),
                          IF(J_V="SI",Datos!L12,Datos!L12+Datos!AB12)-IF(Monitorios="SI",Datos!CD12,0),
                          " - ")</f>
        <v xml:space="preserve"> - </v>
      </c>
      <c r="AB12" s="334"/>
      <c r="AC12" s="334"/>
      <c r="AD12" s="484"/>
      <c r="AE12" s="484">
        <f>IF(ISNUMBER(Datos!R12),Datos!R12," - ")</f>
        <v>8594</v>
      </c>
      <c r="AF12" s="229" t="str">
        <f>IF(ISNUMBER(Datos!BV12),Datos!BV12," - ")</f>
        <v xml:space="preserve"> - </v>
      </c>
      <c r="AG12" s="225" t="str">
        <f>IF(ISNUMBER(Datos!DV12),Datos!DV12," - ")</f>
        <v xml:space="preserve"> - </v>
      </c>
      <c r="AH12" s="298"/>
      <c r="AI12" s="227"/>
      <c r="AJ12" s="225">
        <f>IF(ISNUMBER(Datos!M12),Datos!M12," - ")</f>
        <v>443</v>
      </c>
      <c r="AK12" s="229">
        <f>IF(ISNUMBER(Datos!N12),Datos!N12," - ")</f>
        <v>1202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8.5613825983313472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2.7130393211425841E-2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80</v>
      </c>
      <c r="G13" s="898">
        <f>SUBTOTAL(9,G8:G12)</f>
        <v>80</v>
      </c>
      <c r="H13" s="908"/>
      <c r="I13" s="898">
        <f t="shared" ref="I13:N13" si="0">SUBTOTAL(9,I8:I12)</f>
        <v>0</v>
      </c>
      <c r="J13" s="867">
        <f t="shared" si="0"/>
        <v>0</v>
      </c>
      <c r="K13" s="908">
        <f t="shared" si="0"/>
        <v>0</v>
      </c>
      <c r="L13" s="908">
        <f t="shared" si="0"/>
        <v>0</v>
      </c>
      <c r="M13" s="908">
        <f t="shared" si="0"/>
        <v>0</v>
      </c>
      <c r="N13" s="908">
        <f t="shared" si="0"/>
        <v>530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53</v>
      </c>
      <c r="Z13" s="907">
        <f t="shared" si="2"/>
        <v>309</v>
      </c>
      <c r="AA13" s="900">
        <f t="shared" si="2"/>
        <v>79</v>
      </c>
      <c r="AB13" s="900">
        <f t="shared" si="2"/>
        <v>0</v>
      </c>
      <c r="AC13" s="900">
        <f t="shared" si="2"/>
        <v>0</v>
      </c>
      <c r="AD13" s="900">
        <f t="shared" si="2"/>
        <v>0</v>
      </c>
      <c r="AE13" s="900">
        <f t="shared" si="2"/>
        <v>8665</v>
      </c>
      <c r="AF13" s="908">
        <f t="shared" si="2"/>
        <v>0</v>
      </c>
      <c r="AG13" s="908">
        <f t="shared" si="2"/>
        <v>0</v>
      </c>
      <c r="AH13" s="908">
        <f t="shared" si="2"/>
        <v>0</v>
      </c>
      <c r="AI13" s="908">
        <f t="shared" si="2"/>
        <v>0</v>
      </c>
      <c r="AJ13" s="908">
        <f t="shared" si="2"/>
        <v>457</v>
      </c>
      <c r="AK13" s="908">
        <f t="shared" si="2"/>
        <v>1220</v>
      </c>
      <c r="AL13" s="908">
        <f t="shared" si="2"/>
        <v>0</v>
      </c>
      <c r="AM13" s="908">
        <f t="shared" si="2"/>
        <v>0</v>
      </c>
      <c r="AN13" s="908">
        <f t="shared" si="2"/>
        <v>0</v>
      </c>
      <c r="AO13" s="904">
        <f>IF(ISNUMBER(((NºAsuntos!I13/NºAsuntos!G13)*11)/factor_trimestre),((NºAsuntos!I13/NºAsuntos!G13)*11)/factor_trimestre," - ")</f>
        <v>8.4770428015564221</v>
      </c>
      <c r="AP13" s="910" t="str">
        <f>IF(ISNUMBER(Datos!CI13/Datos!CJ13),Datos!CI13/Datos!CJ13," - ")</f>
        <v xml:space="preserve"> - </v>
      </c>
      <c r="AQ13" s="928">
        <f t="shared" ref="AQ13:AV13" si="3">SUBTOTAL(9,AQ9:AQ12)</f>
        <v>0</v>
      </c>
      <c r="AR13" s="928">
        <f t="shared" si="3"/>
        <v>-5.0791684710652082E-2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2186</v>
      </c>
      <c r="G16" s="225">
        <f>IF(ISNUMBER(IF(D_I="SI",Datos!I16,Datos!I16+Datos!AC16)),IF(D_I="SI",Datos!I16,Datos!I16+Datos!AC16)," - ")</f>
        <v>2142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1787</v>
      </c>
      <c r="Z16" s="619">
        <f>IF(ISNUMBER(Datos!Q16),Datos!Q16," - ")</f>
        <v>147</v>
      </c>
      <c r="AA16" s="332">
        <f>IF(ISNUMBER(IF(D_I="SI",Datos!L16,Datos!L16+Datos!AF16)),IF(D_I="SI",Datos!L16,Datos!L16+Datos!AF16)," - ")</f>
        <v>2369</v>
      </c>
      <c r="AB16" s="334"/>
      <c r="AC16" s="334"/>
      <c r="AD16" s="484"/>
      <c r="AE16" s="484">
        <f>IF(ISNUMBER(Datos!R16),Datos!R16," - ")</f>
        <v>349</v>
      </c>
      <c r="AF16" s="229" t="str">
        <f>IF(ISNUMBER(Datos!BV16),Datos!BV16," - ")</f>
        <v xml:space="preserve"> - </v>
      </c>
      <c r="AG16" s="225"/>
      <c r="AH16" s="298"/>
      <c r="AI16" s="227"/>
      <c r="AJ16" s="225">
        <f>IF(ISNUMBER(Datos!M16),Datos!M16," - ")</f>
        <v>264</v>
      </c>
      <c r="AK16" s="229">
        <f>IF(ISNUMBER(Datos!N16),Datos!N16," - ")</f>
        <v>975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3.9770565193060996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134</v>
      </c>
      <c r="Z17" s="619">
        <f>IF(ISNUMBER(Datos!Q17),Datos!Q17," - ")</f>
        <v>0</v>
      </c>
      <c r="AA17" s="332">
        <f>IF(ISNUMBER(Datos!L17),Datos!L17,"-")</f>
        <v>168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3.7611940298507465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2186</v>
      </c>
      <c r="G18" s="898">
        <f>SUBTOTAL(9,G15:G17)</f>
        <v>2313</v>
      </c>
      <c r="H18" s="932">
        <f>SUBTOTAL(9,H15:H17)</f>
        <v>0</v>
      </c>
      <c r="I18" s="911">
        <f>SUBTOTAL(9,I15:I17)</f>
        <v>0</v>
      </c>
      <c r="J18" s="867">
        <f>SUBTOTAL(9,J14:J17)</f>
        <v>0</v>
      </c>
      <c r="K18" s="932">
        <f t="shared" ref="K18:S18" si="4">SUBTOTAL(9,K15:K17)</f>
        <v>0</v>
      </c>
      <c r="L18" s="932">
        <f t="shared" si="4"/>
        <v>0</v>
      </c>
      <c r="M18" s="932">
        <f t="shared" si="4"/>
        <v>0</v>
      </c>
      <c r="N18" s="932">
        <f t="shared" si="4"/>
        <v>128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1921</v>
      </c>
      <c r="Z18" s="932">
        <f t="shared" si="5"/>
        <v>147</v>
      </c>
      <c r="AA18" s="932">
        <f t="shared" si="5"/>
        <v>2537</v>
      </c>
      <c r="AB18" s="932">
        <f t="shared" si="5"/>
        <v>0</v>
      </c>
      <c r="AC18" s="932">
        <f t="shared" si="5"/>
        <v>0</v>
      </c>
      <c r="AD18" s="932">
        <f t="shared" si="5"/>
        <v>0</v>
      </c>
      <c r="AE18" s="932">
        <f t="shared" si="5"/>
        <v>349</v>
      </c>
      <c r="AF18" s="932">
        <f t="shared" si="5"/>
        <v>0</v>
      </c>
      <c r="AG18" s="932">
        <f t="shared" si="5"/>
        <v>0</v>
      </c>
      <c r="AH18" s="932">
        <f t="shared" si="5"/>
        <v>0</v>
      </c>
      <c r="AI18" s="932">
        <f t="shared" si="5"/>
        <v>0</v>
      </c>
      <c r="AJ18" s="932">
        <f t="shared" si="5"/>
        <v>273</v>
      </c>
      <c r="AK18" s="932">
        <f t="shared" si="5"/>
        <v>1060</v>
      </c>
      <c r="AL18" s="932">
        <f t="shared" si="5"/>
        <v>0</v>
      </c>
      <c r="AM18" s="932">
        <f t="shared" si="5"/>
        <v>0</v>
      </c>
      <c r="AN18" s="932">
        <f t="shared" si="5"/>
        <v>0</v>
      </c>
      <c r="AO18" s="934">
        <f>IF(ISNUMBER(((NºAsuntos!I18/NºAsuntos!G18)*11)/factor_trimestre),((NºAsuntos!I18/NºAsuntos!G18)*11)/factor_trimestre," - ")</f>
        <v>3.9619989588755864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2266</v>
      </c>
      <c r="G19" s="820">
        <f t="shared" si="7"/>
        <v>2393</v>
      </c>
      <c r="H19" s="821">
        <f t="shared" si="7"/>
        <v>0</v>
      </c>
      <c r="I19" s="820">
        <f t="shared" si="7"/>
        <v>0</v>
      </c>
      <c r="J19" s="822">
        <f t="shared" si="7"/>
        <v>0</v>
      </c>
      <c r="K19" s="820">
        <f t="shared" si="7"/>
        <v>0</v>
      </c>
      <c r="L19" s="823">
        <f t="shared" si="7"/>
        <v>0</v>
      </c>
      <c r="M19" s="820">
        <f t="shared" si="7"/>
        <v>0</v>
      </c>
      <c r="N19" s="821">
        <f t="shared" si="7"/>
        <v>658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1974</v>
      </c>
      <c r="Z19" s="827">
        <f t="shared" si="8"/>
        <v>456</v>
      </c>
      <c r="AA19" s="828">
        <f t="shared" si="8"/>
        <v>2616</v>
      </c>
      <c r="AB19" s="828">
        <f t="shared" si="8"/>
        <v>0</v>
      </c>
      <c r="AC19" s="828">
        <f t="shared" si="8"/>
        <v>0</v>
      </c>
      <c r="AD19" s="829">
        <f t="shared" si="8"/>
        <v>0</v>
      </c>
      <c r="AE19" s="829">
        <f t="shared" si="8"/>
        <v>9014</v>
      </c>
      <c r="AF19" s="830">
        <f t="shared" si="8"/>
        <v>0</v>
      </c>
      <c r="AG19" s="831">
        <f t="shared" si="8"/>
        <v>0</v>
      </c>
      <c r="AH19" s="832">
        <f t="shared" si="8"/>
        <v>0</v>
      </c>
      <c r="AI19" s="830">
        <f t="shared" si="8"/>
        <v>0</v>
      </c>
      <c r="AJ19" s="820">
        <f t="shared" si="8"/>
        <v>730</v>
      </c>
      <c r="AK19" s="820">
        <f t="shared" si="8"/>
        <v>2280</v>
      </c>
      <c r="AL19" s="820">
        <f t="shared" si="8"/>
        <v>0</v>
      </c>
      <c r="AM19" s="833">
        <f t="shared" si="8"/>
        <v>0</v>
      </c>
      <c r="AN19" s="823">
        <f>IF(ISNUMBER(Datos!K19/Datos!J19),Datos!K19/Datos!J19," - ")</f>
        <v>0.92306020430341229</v>
      </c>
      <c r="AO19" s="823">
        <f>IF(ISNUMBER(FIND("06",Criterios!A8,1)),(IF(ISNUMBER(((Datos!R19/Datos!Q19)*11)/factor_trimestre),((Datos!R19/Datos!Q19)*11)/factor_trimestre," - ")),(IF(ISNUMBER(((Datos!L19/Datos!K19)*11)/factor_trimestre),((Datos!L19/Datos!K19)*11)/factor_trimestre," - ")))</f>
        <v>6.6873086884859907</v>
      </c>
      <c r="AP19" s="834" t="str">
        <f>IF(ISNUMBER(Datos!CI19/Datos!CJ19),Datos!CI19/Datos!CJ19," - ")</f>
        <v xml:space="preserve"> - </v>
      </c>
      <c r="AQ19" s="834">
        <f>IF(OR(ISNUMBER(FIND("01",Criterios!A8,1)),ISNUMBER(FIND("02",Criterios!A8,1)),ISNUMBER(FIND("03",Criterios!A8,1)),ISNUMBER(FIND("04",Criterios!A8,1))),(J19-Y19+K19)/(F19-K19),(I19-Y19+K19)/(F19-K19))</f>
        <v>-0.87113857016769636</v>
      </c>
      <c r="AR19" s="834">
        <f>IF(ISNUMBER((Datos!P19-Datos!Q19+O19)/(Datos!R19-Datos!P19+Datos!Q19-O19)),(Datos!P19-Datos!Q19+O19)/(Datos!R19-Datos!P19+Datos!Q19-O19)," - ")</f>
        <v>2.2923286427598728E-2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957.2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1215.8996669133519</v>
      </c>
      <c r="G21" s="552">
        <f>IF(ISNUMBER(STDEV(G8:G18)),STDEV(G8:G18),"-")</f>
        <v>1161.7890083831917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197.14630776828326</v>
      </c>
      <c r="AK21" s="252"/>
      <c r="AL21" s="252">
        <f>IF(ISNUMBER(STDEV(AL8:AL18)),STDEV(AL8:AL18),"-")</f>
        <v>0</v>
      </c>
      <c r="AM21" s="254">
        <f>IF(ISNUMBER(STDEV(AM8:AM18)),STDEV(AM8:AM18),"-")</f>
        <v>0</v>
      </c>
      <c r="AN21" s="539">
        <f>IF(ISNUMBER(STDEV(AN8:AN18)),STDEV(AN8:AN18),"-")</f>
        <v>0</v>
      </c>
      <c r="AO21" s="540">
        <f>IF(ISNUMBER(STDEV(AO8:AO18)),STDEV(AO8:AO18),"-")</f>
        <v>2.3234941851052935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3YpL6CSmOUZQU/7R07Z/no1yMK5tH10CDIe0kMrEiQ8ejhWjFaI/HGy/Lnjt6hXOfrlayXEflv3BO0nOaAZ5Vw==" saltValue="zbA2/jvr8//tYoWFeORL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oa9RvmwO3snzE2ac9IHd43JAL7QtuvJXHWLATlqRN/cPSDLZMBzePoPe9iNao2f7D1ZSZ3Y514Lvdq2S2l32w==" saltValue="9hy8hBtPSDUIBXb/6R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mJjkb7VhM6+OmE/9oEl9JVW2zOZenSELR/RUfrnYAueCxPOxD/mzku7osGjYZ7IUuUXVGuFYO7iavsE6278g==" saltValue="27nPkzmrpuU52Opw8LNQ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0.17782101167315176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0.12573844319153785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yxS/MTJQIZ4/xdTesMNo8V13fAr1yiQp6dCjpkXtLE7C1ilpldu2so3mZe80znYimNOddi/KVFQMg4kWfM+wQ==" saltValue="2gw8JH1o98oL8Bj9KMkyv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0KgWdxPJtSBwhe3IUhMUVkw0sutaZp+ClcAqC+0ptaxry6XTGCejW5DWnjrvV//VVB9GWXpvdydpPY7msbmozA==" saltValue="3j6fUOjeTFR5vQ4X15KX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NAVALCARNERO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80</v>
      </c>
      <c r="D10" s="404">
        <f>IF(ISNUMBER(C10/Datos!BH10),C10/Datos!BH10," - ")</f>
        <v>80</v>
      </c>
      <c r="E10" s="403">
        <f>IF(ISNUMBER(Datos!J10),Datos!J10," - ")</f>
        <v>52</v>
      </c>
      <c r="F10" s="404">
        <f>IF(ISNUMBER(E10/B10),E10/B10," - ")</f>
        <v>52</v>
      </c>
      <c r="G10" s="403">
        <f>IF(ISNUMBER(Datos!K10),Datos!K10," - ")</f>
        <v>53</v>
      </c>
      <c r="H10" s="404">
        <f>IF(ISNUMBER(G10/B10),G10/B10," - ")</f>
        <v>53</v>
      </c>
      <c r="I10" s="403">
        <f>IF(ISNUMBER(Datos!L10),Datos!L10," - ")</f>
        <v>79</v>
      </c>
      <c r="J10" s="404">
        <f>IF(ISNUMBER(I10/B10),I10/B10," - ")</f>
        <v>79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7229</v>
      </c>
      <c r="D12" s="404">
        <f>IF(ISNUMBER(C12/Datos!BH12),C12/Datos!BH12," - ")</f>
        <v>903.625</v>
      </c>
      <c r="E12" s="403">
        <f>IF(ISNUMBER(IF(J_V="SI",Datos!J12,Datos!J12+Datos!Z12)),IF(J_V="SI",Datos!J12,Datos!J12+Datos!Z12)," - ")</f>
        <v>2696</v>
      </c>
      <c r="F12" s="404">
        <f>IF(ISNUMBER(E12/B12),E12/B12," - ")</f>
        <v>337</v>
      </c>
      <c r="G12" s="403">
        <f>IF(ISNUMBER(IF(J_V="SI",Datos!K12,Datos!K12+Datos!AA12)),IF(J_V="SI",Datos!K12,Datos!K12+Datos!AA12)," - ")</f>
        <v>2517</v>
      </c>
      <c r="H12" s="404">
        <f>IF(ISNUMBER(G12/B12),G12/B12," - ")</f>
        <v>314.625</v>
      </c>
      <c r="I12" s="403">
        <f>IF(ISNUMBER(IF(J_V="SI",Datos!L12,Datos!L12+Datos!AB12)),IF(J_V="SI",Datos!L12,Datos!L12+Datos!AB12)," - ")</f>
        <v>7183</v>
      </c>
      <c r="J12" s="404">
        <f>IF(ISNUMBER(I12/B12),I12/B12," - ")</f>
        <v>897.875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7309</v>
      </c>
      <c r="D13" s="850" t="str">
        <f>IF(ISNUMBER(C13/Datos!BI13),C13/Datos!BI13," - ")</f>
        <v xml:space="preserve"> - </v>
      </c>
      <c r="E13" s="849">
        <f>SUBTOTAL(9,E8:E12)</f>
        <v>2748</v>
      </c>
      <c r="F13" s="850">
        <f>IF(ISNUMBER(E13/B13),E13/B13," - ")</f>
        <v>343.5</v>
      </c>
      <c r="G13" s="849">
        <f>SUBTOTAL(9,G8:G12)</f>
        <v>2570</v>
      </c>
      <c r="H13" s="850">
        <f>IF(ISNUMBER(G13/B13),G13/B13," - ")</f>
        <v>321.25</v>
      </c>
      <c r="I13" s="849">
        <f>SUBTOTAL(9,I8:I12)</f>
        <v>7262</v>
      </c>
      <c r="J13" s="850">
        <f>IF(ISNUMBER(I13/B13),I13/B13," - ")</f>
        <v>907.75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2142</v>
      </c>
      <c r="D16" s="404">
        <f>IF(ISNUMBER(C16/Datos!BH16),C16/Datos!BH16," - ")</f>
        <v>267.75</v>
      </c>
      <c r="E16" s="403">
        <f>IF(ISNUMBER(IF(D_I="SI",Datos!J16,Datos!J16+Datos!AD16)),IF(D_I="SI",Datos!J16,Datos!J16+Datos!AD16)," - ")</f>
        <v>1970</v>
      </c>
      <c r="F16" s="404">
        <f>IF(ISNUMBER(E16/B16),E16/B16," - ")</f>
        <v>246.25</v>
      </c>
      <c r="G16" s="403">
        <f>IF(ISNUMBER(IF(D_I="SI",Datos!K16,Datos!K16+Datos!AE16)),IF(D_I="SI",Datos!K16,Datos!K16+Datos!AE16)," - ")</f>
        <v>1787</v>
      </c>
      <c r="H16" s="404">
        <f>IF(ISNUMBER(G16/B16),G16/B16," - ")</f>
        <v>223.375</v>
      </c>
      <c r="I16" s="403">
        <f>IF(ISNUMBER(IF(D_I="SI",Datos!L16,Datos!L16+Datos!AF16)),IF(D_I="SI",Datos!L16,Datos!L16+Datos!AF16)," - ")</f>
        <v>2369</v>
      </c>
      <c r="J16" s="404">
        <f>IF(ISNUMBER(I16/B16),I16/B16," - ")</f>
        <v>296.125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171</v>
      </c>
      <c r="D17" s="404">
        <f>IF(ISNUMBER(C17/Datos!BH17),C17/Datos!BH17," - ")</f>
        <v>171</v>
      </c>
      <c r="E17" s="403">
        <f>IF(ISNUMBER(IF(D_I="SI",Datos!J17,Datos!J17+Datos!AD17)),IF(D_I="SI",Datos!J17,Datos!J17+Datos!AD17)," - ")</f>
        <v>131</v>
      </c>
      <c r="F17" s="404">
        <f>IF(ISNUMBER(E17/B17),E17/B17," - ")</f>
        <v>131</v>
      </c>
      <c r="G17" s="403">
        <f>IF(ISNUMBER(IF(D_I="SI",Datos!K17,Datos!K17+Datos!AE17)),IF(D_I="SI",Datos!K17,Datos!K17+Datos!AE17)," - ")</f>
        <v>134</v>
      </c>
      <c r="H17" s="404">
        <f>IF(ISNUMBER(G17/B17),G17/B17," - ")</f>
        <v>134</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2313</v>
      </c>
      <c r="D18" s="850" t="str">
        <f>IF(ISNUMBER(C18/Datos!BI18),C18/Datos!BI18," - ")</f>
        <v xml:space="preserve"> - </v>
      </c>
      <c r="E18" s="849">
        <f>SUBTOTAL(9,E14:E17)</f>
        <v>2101</v>
      </c>
      <c r="F18" s="850">
        <f>IF(ISNUMBER(E18/B18),E18/B18," - ")</f>
        <v>262.625</v>
      </c>
      <c r="G18" s="849">
        <f>SUBTOTAL(9,G14:G17)</f>
        <v>1921</v>
      </c>
      <c r="H18" s="850">
        <f>IF(ISNUMBER(G18/B18),G18/B18," - ")</f>
        <v>240.125</v>
      </c>
      <c r="I18" s="849">
        <f>SUBTOTAL(9,I14:I17)</f>
        <v>2537</v>
      </c>
      <c r="J18" s="850">
        <f>IF(ISNUMBER(I18/B18),I18/B18," - ")</f>
        <v>317.125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9622</v>
      </c>
      <c r="D19" s="795" t="str">
        <f>IF(ISNUMBER(C19/Datos!BI19),C19/Datos!BI19," - ")</f>
        <v xml:space="preserve"> - </v>
      </c>
      <c r="E19" s="794">
        <f>SUBTOTAL(9,E9:E18)</f>
        <v>4849</v>
      </c>
      <c r="F19" s="795">
        <f>IF(ISNUMBER(E19/B19),E19/B19," - ")</f>
        <v>606.125</v>
      </c>
      <c r="G19" s="794">
        <f>SUBTOTAL(9,G9:G18)</f>
        <v>4491</v>
      </c>
      <c r="H19" s="795">
        <f>IF(ISNUMBER(G19/B19),G19/B19," - ")</f>
        <v>561.375</v>
      </c>
      <c r="I19" s="794">
        <f>SUBTOTAL(9,I9:I18)</f>
        <v>9799</v>
      </c>
      <c r="J19" s="795">
        <f>IF(ISNUMBER(I19/B19),I19/B19," - ")</f>
        <v>1224.875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9T3riaPHlvwlYR5deg+mDJ8zduikX2RbUuxEWCym/P1+zJBOJH/sXoYor84I6VtGmc4vysMNr+SMP2xl2pKDQ==" saltValue="CECGRpqmwAJ0DOME2CMQ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NAVALCARNERO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80</v>
      </c>
      <c r="G10" s="684">
        <f>IF(ISNUMBER(Datos!I10),Datos!I10," - ")</f>
        <v>80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53</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4.4716981132075473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443</v>
      </c>
      <c r="AM12" s="690">
        <f>IF(ISNUMBER(Datos!N12+DatosP!N16),Datos!N12+DatosP!N16," - ")</f>
        <v>1202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8.5613825983313472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2.7130393211425841E-2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80</v>
      </c>
      <c r="G13" s="938">
        <f t="shared" si="0"/>
        <v>80</v>
      </c>
      <c r="H13" s="938">
        <f t="shared" si="0"/>
        <v>0</v>
      </c>
      <c r="I13" s="940">
        <f t="shared" si="0"/>
        <v>0</v>
      </c>
      <c r="J13" s="939">
        <f t="shared" si="0"/>
        <v>0</v>
      </c>
      <c r="K13" s="939">
        <f t="shared" si="0"/>
        <v>0</v>
      </c>
      <c r="L13" s="941">
        <f t="shared" si="0"/>
        <v>0</v>
      </c>
      <c r="M13" s="941">
        <f t="shared" si="0"/>
        <v>0</v>
      </c>
      <c r="N13" s="939">
        <f t="shared" si="0"/>
        <v>530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53</v>
      </c>
      <c r="AC13" s="939">
        <f t="shared" si="1"/>
        <v>0</v>
      </c>
      <c r="AD13" s="939">
        <f t="shared" si="1"/>
        <v>300</v>
      </c>
      <c r="AE13" s="939">
        <f t="shared" si="1"/>
        <v>0</v>
      </c>
      <c r="AF13" s="939">
        <f t="shared" si="1"/>
        <v>79</v>
      </c>
      <c r="AG13" s="939">
        <f t="shared" si="1"/>
        <v>0</v>
      </c>
      <c r="AH13" s="939">
        <f t="shared" si="1"/>
        <v>8594</v>
      </c>
      <c r="AI13" s="939">
        <f t="shared" si="1"/>
        <v>0</v>
      </c>
      <c r="AJ13" s="939">
        <f t="shared" si="1"/>
        <v>0</v>
      </c>
      <c r="AK13" s="939">
        <f t="shared" si="1"/>
        <v>0</v>
      </c>
      <c r="AL13" s="939">
        <f t="shared" si="1"/>
        <v>457</v>
      </c>
      <c r="AM13" s="939">
        <f t="shared" si="1"/>
        <v>1220</v>
      </c>
      <c r="AN13" s="939">
        <f t="shared" si="1"/>
        <v>0</v>
      </c>
      <c r="AO13" s="939">
        <f t="shared" si="1"/>
        <v>0</v>
      </c>
      <c r="AP13" s="944">
        <f>IF(ISNUMBER(((Datos!L13/Datos!K13)*11)/factor_trimestre),((Datos!L13/Datos!K13)*11)/factor_trimestre," - ")</f>
        <v>8.9380911435941535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-0.66249999999999998</v>
      </c>
      <c r="AU13" s="939" t="str">
        <f>IF(ISNUMBER((DatosP!#REF!-DatosP!#REF!+DatosP!#REF!)/(DatosP!#REF!+DatosP!#REF!-DatosP!#REF!-DatosP!#REF!)),(DatosP!#REF!-DatosP!#REF!+DatosP!#REF!)/(DatosP!#REF!+DatosP!#REF!-DatosP!#REF!-DatosP!#REF!)," - ")</f>
        <v xml:space="preserve"> - </v>
      </c>
      <c r="AV13" s="945">
        <f>SUBTOTAL(9,AV9:AV12)</f>
        <v>2.7130393211425841E-2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3.9619989588755864</v>
      </c>
      <c r="AQ18" s="944">
        <f>IF(ISNUMBER(((Datos!M18/Datos!L18)*11)/factor_trimestre),((Datos!M18/Datos!L18)*11)/factor_trimestre," - ")</f>
        <v>0.32282223098147417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-5.1630434782608696E-2</v>
      </c>
      <c r="AW18" s="946">
        <f>IF(ISNUMBER((Datos!Q18-Datos!R18)/(Datos!S18-Datos!Q18+Datos!R18)),(Datos!Q18-Datos!R18)/(Datos!S18-Datos!Q18+Datos!R18)," - ")</f>
        <v>-9.2027334851936218E-2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80</v>
      </c>
      <c r="G19" s="951">
        <f t="shared" si="4"/>
        <v>80</v>
      </c>
      <c r="H19" s="951">
        <f t="shared" si="4"/>
        <v>0</v>
      </c>
      <c r="I19" s="952">
        <f t="shared" si="4"/>
        <v>0</v>
      </c>
      <c r="J19" s="953">
        <f t="shared" si="4"/>
        <v>0</v>
      </c>
      <c r="K19" s="953">
        <f t="shared" si="4"/>
        <v>0</v>
      </c>
      <c r="L19" s="953">
        <f t="shared" si="4"/>
        <v>0</v>
      </c>
      <c r="M19" s="953">
        <f t="shared" si="4"/>
        <v>0</v>
      </c>
      <c r="N19" s="952">
        <f t="shared" si="4"/>
        <v>530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53</v>
      </c>
      <c r="AC19" s="957">
        <f t="shared" si="5"/>
        <v>0</v>
      </c>
      <c r="AD19" s="957">
        <f t="shared" si="5"/>
        <v>300</v>
      </c>
      <c r="AE19" s="957">
        <f t="shared" si="5"/>
        <v>0</v>
      </c>
      <c r="AF19" s="958">
        <f t="shared" si="5"/>
        <v>79</v>
      </c>
      <c r="AG19" s="958">
        <f t="shared" si="5"/>
        <v>0</v>
      </c>
      <c r="AH19" s="958">
        <f t="shared" si="5"/>
        <v>8594</v>
      </c>
      <c r="AI19" s="958">
        <f t="shared" si="5"/>
        <v>0</v>
      </c>
      <c r="AJ19" s="959">
        <f t="shared" si="5"/>
        <v>0</v>
      </c>
      <c r="AK19" s="959">
        <f t="shared" si="5"/>
        <v>0</v>
      </c>
      <c r="AL19" s="951">
        <f t="shared" si="5"/>
        <v>457</v>
      </c>
      <c r="AM19" s="951">
        <f t="shared" si="5"/>
        <v>1220</v>
      </c>
      <c r="AN19" s="951">
        <f t="shared" si="5"/>
        <v>0</v>
      </c>
      <c r="AO19" s="951">
        <f t="shared" si="5"/>
        <v>0</v>
      </c>
      <c r="AP19" s="951">
        <f>IF(ISNUMBER(((Datos!L19/Datos!K19)*11)/factor_trimestre),((Datos!L19/Datos!K19)*11)/factor_trimestre," - ")</f>
        <v>6.6873086884859907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-0.66249999999999998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2.2923286427598728E-2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46.188021535170058</v>
      </c>
      <c r="G21" s="737">
        <f>IF(ISNUMBER(STDEV(G8:G18)),STDEV(G8:G18),"-")</f>
        <v>46.188021535170058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30.599564267050166</v>
      </c>
      <c r="AC21" s="738">
        <f>IF(ISNUMBER(STDEV(AC8:AC18)),STDEV(AC8:AC18),"-")</f>
        <v>0</v>
      </c>
      <c r="AD21" s="741"/>
      <c r="AE21" s="741"/>
      <c r="AF21" s="741"/>
      <c r="AG21" s="741"/>
      <c r="AH21" s="741"/>
      <c r="AI21" s="741"/>
      <c r="AJ21" s="742">
        <f>IF(ISNUMBER(STDEV(AJ8:AJ18)),STDEV(AJ8:AJ18),"-")</f>
        <v>0</v>
      </c>
      <c r="AK21" s="744"/>
      <c r="AL21" s="736">
        <f>IF(ISNUMBER(STDEV(AL8:AL18)),STDEV(AL8:AL18),"-")</f>
        <v>255.89385820426926</v>
      </c>
      <c r="AM21" s="736"/>
      <c r="AN21" s="736">
        <f>IF(ISNUMBER(STDEV(AN8:AN18)),STDEV(AN8:AN18),"-")</f>
        <v>0</v>
      </c>
      <c r="AO21" s="742">
        <f>IF(ISNUMBER(STDEV(AO8:AO18)),STDEV(AO8:AO18),"-")</f>
        <v>0</v>
      </c>
      <c r="AP21" s="779">
        <f>IF(ISNUMBER(STDEV(AP8:AP18)),STDEV(AP8:AP18),"-")</f>
        <v>2.6298243246057913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49v2SHFi7NuJenVl0p3UDZE9YHwlzD6eWidJSa0QbhYqJ8oXqCCdp1rNQjo/qTN1/XcFGmj47GwGKgdUTOdrw==" saltValue="2oVIkFUkFWmSk3u2CriR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NAVALCARNERO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VVpT4JxfjAduTet245HgEiKRrgPBkkKmnphpGMGvibwrXAbTavdfhjmdX35ie5oEGrvK+3Gtg6fnQvx3AfhMTw==" saltValue="YA/GtC0urBc/t2chls/u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NAVALCARNERO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18</v>
      </c>
      <c r="G10" s="404">
        <f>IF(ISNUMBER(F10/B10),F10/B10," - ")</f>
        <v>18</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443</v>
      </c>
      <c r="E12" s="404">
        <f t="shared" si="0"/>
        <v>55.375</v>
      </c>
      <c r="F12" s="403">
        <f>IF(ISNUMBER(Datos!N12),Datos!N12," - ")</f>
        <v>1202</v>
      </c>
      <c r="G12" s="404">
        <f t="shared" si="1"/>
        <v>150.25</v>
      </c>
      <c r="H12" s="403">
        <f>IF(ISNUMBER(Datos!O12),Datos!O12," - ")</f>
        <v>739</v>
      </c>
      <c r="I12" s="404">
        <f t="shared" si="2"/>
        <v>92.375</v>
      </c>
      <c r="BZ12" s="1186">
        <f>Datos!EZ12</f>
        <v>0</v>
      </c>
    </row>
    <row r="13" spans="1:78" ht="14.25" thickTop="1" thickBot="1">
      <c r="A13" s="848" t="str">
        <f>Datos!A13</f>
        <v>TOTAL</v>
      </c>
      <c r="B13" s="849">
        <f>Datos!AP13</f>
        <v>8</v>
      </c>
      <c r="C13" s="851">
        <f>Datos!AR13</f>
        <v>8</v>
      </c>
      <c r="D13" s="849">
        <f>SUBTOTAL(9,D9:D12)</f>
        <v>457</v>
      </c>
      <c r="E13" s="850">
        <f t="shared" si="0"/>
        <v>57.125</v>
      </c>
      <c r="F13" s="849">
        <f>SUBTOTAL(9,F9:F12)</f>
        <v>1220</v>
      </c>
      <c r="G13" s="850">
        <f t="shared" si="1"/>
        <v>152.5</v>
      </c>
      <c r="H13" s="849">
        <f>SUBTOTAL(9,H9:H12)</f>
        <v>748</v>
      </c>
      <c r="I13" s="850">
        <f>IF(ISNUMBER(H13/B13),H13/B13," - ")</f>
        <v>93.5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264</v>
      </c>
      <c r="E16" s="404">
        <f t="shared" si="3"/>
        <v>33</v>
      </c>
      <c r="F16" s="403">
        <f>IF(ISNUMBER(Datos!N16),Datos!N16," - ")</f>
        <v>975</v>
      </c>
      <c r="G16" s="404">
        <f t="shared" si="4"/>
        <v>121.875</v>
      </c>
      <c r="H16" s="403">
        <f>IF(ISNUMBER(Datos!O16),Datos!O16," - ")</f>
        <v>73</v>
      </c>
      <c r="I16" s="404">
        <f t="shared" si="5"/>
        <v>9.125</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273</v>
      </c>
      <c r="E18" s="850">
        <f t="shared" si="3"/>
        <v>34.125</v>
      </c>
      <c r="F18" s="849">
        <f>SUBTOTAL(9,F15:F17)</f>
        <v>1060</v>
      </c>
      <c r="G18" s="850">
        <f t="shared" si="4"/>
        <v>132.5</v>
      </c>
      <c r="H18" s="849">
        <f>SUBTOTAL(9,H15:H17)</f>
        <v>73</v>
      </c>
      <c r="I18" s="850">
        <f>IF(ISNUMBER(H18/B18),H18/B18," - ")</f>
        <v>9.125</v>
      </c>
      <c r="BZ18" s="1186"/>
    </row>
    <row r="19" spans="1:78" ht="14.25" thickTop="1" thickBot="1">
      <c r="A19" s="793" t="str">
        <f>Datos!A19</f>
        <v>TOTAL JURISDICCIONES</v>
      </c>
      <c r="B19" s="794">
        <f>Datos!AP19</f>
        <v>8</v>
      </c>
      <c r="C19" s="794">
        <f>Datos!AR19</f>
        <v>8</v>
      </c>
      <c r="D19" s="794">
        <f>SUBTOTAL(9,D8:D18)</f>
        <v>730</v>
      </c>
      <c r="E19" s="795">
        <f>IF(ISNUMBER(D19/B19),D19/B19," - ")</f>
        <v>91.25</v>
      </c>
      <c r="F19" s="794">
        <f>SUBTOTAL(9,F8:F18)</f>
        <v>2280</v>
      </c>
      <c r="G19" s="795">
        <f>IF(ISNUMBER(F19/B19),F19/B19," - ")</f>
        <v>285</v>
      </c>
      <c r="H19" s="794">
        <f>SUBTOTAL(9,H8:H18)</f>
        <v>821</v>
      </c>
      <c r="I19" s="795">
        <f>IF(ISNUMBER(H19/B19),H19/B19," - ")</f>
        <v>102.625</v>
      </c>
    </row>
    <row r="22" spans="1:78">
      <c r="A22" s="391" t="str">
        <f>Criterios!A4</f>
        <v>Fecha Informe: 24 sep. 2024</v>
      </c>
    </row>
    <row r="27" spans="1:78">
      <c r="A27" s="414"/>
    </row>
  </sheetData>
  <sheetProtection algorithmName="SHA-512" hashValue="P5+5z7cw+wSllx1vZwe2vm6L1siiGZr/2f3ga9E4kYCT3QU0t5QZYPdTu/y7s7Z+1M8mSPqf7GUsks4n9y+wvw==" saltValue="R4He9YL5DHhfOZnzVroq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NAVALCARNERO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9</v>
      </c>
      <c r="D10" s="408">
        <f>IF(ISNUMBER(Datos!R10),Datos!R10," - ")</f>
        <v>71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527</v>
      </c>
      <c r="C12" s="434">
        <f>IF(ISNUMBER(Datos!Q12),Datos!Q12," - ")</f>
        <v>300</v>
      </c>
      <c r="D12" s="408">
        <f>IF(ISNUMBER(Datos!R12),Datos!R12," - ")</f>
        <v>8594</v>
      </c>
    </row>
    <row r="13" spans="1:4" ht="14.25" thickTop="1" thickBot="1">
      <c r="A13" s="848" t="str">
        <f>Datos!A13</f>
        <v>TOTAL</v>
      </c>
      <c r="B13" s="849">
        <f>SUBTOTAL(9,B9:B12)</f>
        <v>530</v>
      </c>
      <c r="C13" s="853">
        <f>SUBTOTAL(9,C9:C12)</f>
        <v>309</v>
      </c>
      <c r="D13" s="851">
        <f>SUBTOTAL(9,D9:D12)</f>
        <v>8665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128</v>
      </c>
      <c r="C16" s="434">
        <f>IF(ISNUMBER(Datos!Q16),Datos!Q16," - ")</f>
        <v>147</v>
      </c>
      <c r="D16" s="408">
        <f>IF(ISNUMBER(Datos!R16),Datos!R16," - ")</f>
        <v>349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128</v>
      </c>
      <c r="C18" s="853">
        <f>SUBTOTAL(9,C15:C17)</f>
        <v>147</v>
      </c>
      <c r="D18" s="851">
        <f>SUBTOTAL(9,D15:D17)</f>
        <v>349</v>
      </c>
    </row>
    <row r="19" spans="1:4" ht="16.5" customHeight="1" thickTop="1" thickBot="1">
      <c r="A19" s="793" t="str">
        <f>Datos!A19</f>
        <v>TOTAL JURISDICCIONES</v>
      </c>
      <c r="B19" s="798">
        <f>SUBTOTAL(9,B8:B18)</f>
        <v>658</v>
      </c>
      <c r="C19" s="799">
        <f>SUBTOTAL(9,C8:C18)</f>
        <v>456</v>
      </c>
      <c r="D19" s="800">
        <f>SUBTOTAL(9,D8:D18)</f>
        <v>9014</v>
      </c>
    </row>
    <row r="20" spans="1:4" ht="7.5" customHeight="1"/>
    <row r="21" spans="1:4" ht="6" customHeight="1"/>
    <row r="22" spans="1:4">
      <c r="A22" s="391" t="str">
        <f>Criterios!A4</f>
        <v>Fecha Informe: 24 sep. 2024</v>
      </c>
    </row>
    <row r="27" spans="1:4">
      <c r="A27" s="414"/>
    </row>
  </sheetData>
  <sheetProtection algorithmName="SHA-512" hashValue="DSfGZQXnapHoyePTaPqvMbVFqJhOOIQx8vMlXPJHa2b/OsTTX68d4FznoUgHbkgjib3+tzOtu0qdDd00vDxHyw==" saltValue="lrN8k2nYU9nSrY9bgvLVp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NAVALCARNERO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-4.7619047619047616E-2</v>
      </c>
      <c r="C10" s="456">
        <f>IF(ISNUMBER((Datos!J10-Datos!T10)/Datos!T10),(Datos!J10-Datos!T10)/Datos!T10," - ")</f>
        <v>2.0588235294117645</v>
      </c>
      <c r="D10" s="456">
        <f>IF(ISNUMBER((Datos!K10-Datos!U10)/Datos!U10),(Datos!K10-Datos!U10)/Datos!U10," - ")</f>
        <v>0.96296296296296291</v>
      </c>
      <c r="E10" s="456">
        <f>IF(ISNUMBER((Datos!L10-Datos!V10)/Datos!V10),(Datos!L10-Datos!V10)/Datos!V10," - ")</f>
        <v>6.7567567567567571E-2</v>
      </c>
      <c r="F10" s="456">
        <f>IF(ISNUMBER((Datos!M10-Datos!W10)/Datos!W10),(Datos!M10-Datos!W10)/Datos!W10," - ")</f>
        <v>1.3333333333333333</v>
      </c>
      <c r="G10" s="457">
        <f>IF(ISNUMBER((Datos!N10-Datos!X10)/Datos!X10),(Datos!N10-Datos!X10)/Datos!X10," - ")</f>
        <v>-0.33333333333333331</v>
      </c>
      <c r="H10" s="455">
        <f>IF(ISNUMBER(((NºAsuntos!G10/NºAsuntos!E10)-Datos!BD10)/Datos!BD10),((NºAsuntos!G10/NºAsuntos!E10)-Datos!BD10)/Datos!BD10," - ")</f>
        <v>-0.35826210826210825</v>
      </c>
      <c r="I10" s="456">
        <f>IF(ISNUMBER(((NºAsuntos!I10/NºAsuntos!G10)-Datos!BE10)/Datos!BE10),((NºAsuntos!I10/NºAsuntos!G10)-Datos!BE10)/Datos!BE10," - ")</f>
        <v>-0.45614482406935247</v>
      </c>
      <c r="J10" s="461">
        <f>IF(ISNUMBER((('Resol  Asuntos'!D10/NºAsuntos!G10)-Datos!BF10)/Datos!BF10),(('Resol  Asuntos'!D10/NºAsuntos!G10)-Datos!BF10)/Datos!BF10," - ")</f>
        <v>0.18867924528301891</v>
      </c>
      <c r="K10" s="462">
        <f>IF(ISNUMBER((((NºAsuntos!C10+NºAsuntos!E10)/NºAsuntos!G10)-Datos!BG10)/Datos!BG10),(((NºAsuntos!C10+NºAsuntos!E10)/NºAsuntos!G10)-Datos!BG10)/Datos!BG10," - ")</f>
        <v>-0.33420511862507013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-2.3108108108108108E-2</v>
      </c>
      <c r="C12" s="456">
        <f>IF(ISNUMBER(
   IF(J_V="SI",(Datos!J12-Datos!T12)/Datos!T12,(Datos!J12+Datos!Z12-(Datos!T12+Datos!AH12))/(Datos!T12+Datos!AH12))
     ),IF(J_V="SI",(Datos!J12-Datos!T12)/Datos!T12,(Datos!J12+Datos!Z12-(Datos!T12+Datos!AH12))/(Datos!T12+Datos!AH12))," - ")</f>
        <v>9.5934959349593493E-2</v>
      </c>
      <c r="D12" s="456">
        <f>IF(ISNUMBER(
   IF(J_V="SI",(Datos!K12-Datos!U12)/Datos!U12,(Datos!K12+Datos!AA12-(Datos!U12+Datos!AI12))/(Datos!U12+Datos!AI12))
     ),IF(J_V="SI",(Datos!K12-Datos!U12)/Datos!U12,(Datos!K12+Datos!AA12-(Datos!U12+Datos!AI12))/(Datos!U12+Datos!AI12))," - ")</f>
        <v>0.20835333653384541</v>
      </c>
      <c r="E12" s="456">
        <f>IF(ISNUMBER(
   IF(J_V="SI",(Datos!L12-Datos!V12)/Datos!V12,(Datos!L12+Datos!AB12-(Datos!V12+Datos!AJ12))/(Datos!V12+Datos!AJ12))
     ),IF(J_V="SI",(Datos!L12-Datos!V12)/Datos!V12,(Datos!L12+Datos!AB12-(Datos!V12+Datos!AJ12))/(Datos!V12+Datos!AJ12))," - ")</f>
        <v>-7.3161290322580647E-2</v>
      </c>
      <c r="F12" s="456">
        <f>IF(ISNUMBER((Datos!M12-Datos!W12)/Datos!W12),(Datos!M12-Datos!W12)/Datos!W12," - ")</f>
        <v>0.37151702786377711</v>
      </c>
      <c r="G12" s="457">
        <f>IF(ISNUMBER((Datos!N12-Datos!X12)/Datos!X12),(Datos!N12-Datos!X12)/Datos!X12," - ")</f>
        <v>7.899461400359066E-2</v>
      </c>
      <c r="H12" s="455">
        <f>IF(ISNUMBER(((NºAsuntos!G12/NºAsuntos!E12)-Datos!BD12)/Datos!BD12),((NºAsuntos!G12/NºAsuntos!E12)-Datos!BD12)/Datos!BD12," - ")</f>
        <v>0.10257759935951763</v>
      </c>
      <c r="I12" s="456">
        <f>IF(ISNUMBER(((NºAsuntos!I12/NºAsuntos!G12)-Datos!BE12)/Datos!BE12),((NºAsuntos!I12/NºAsuntos!G12)-Datos!BE12)/Datos!BE12," - ")</f>
        <v>-0.23297376549143248</v>
      </c>
      <c r="J12" s="461">
        <f>IF(ISNUMBER((('Resol  Asuntos'!D12/NºAsuntos!G12)-Datos!BF12)/Datos!BF12),(('Resol  Asuntos'!D12/NºAsuntos!G12)-Datos!BF12)/Datos!BF12," - ")</f>
        <v>-0.67090249499097343</v>
      </c>
      <c r="K12" s="462">
        <f>IF(ISNUMBER((((NºAsuntos!C12+NºAsuntos!E12)/NºAsuntos!G12)-Datos!BG12)/Datos!BG12),(((NºAsuntos!C12+NºAsuntos!E12)/NºAsuntos!G12)-Datos!BG12)/Datos!BG12," - ")</f>
        <v>-0.16697189335641374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-2.338321753073223E-2</v>
      </c>
      <c r="C13" s="855">
        <f>IF(ISNUMBER(
   IF(J_V="SI",(Datos!J13-Datos!T13)/Datos!T13,(Datos!J13+Datos!Z13-(Datos!T13+Datos!AH13))/(Datos!T13+Datos!AH13))
     ),IF(J_V="SI",(Datos!J13-Datos!T13)/Datos!T13,(Datos!J13+Datos!Z13-(Datos!T13+Datos!AH13))/(Datos!T13+Datos!AH13))," - ")</f>
        <v>0.10940654016955995</v>
      </c>
      <c r="D13" s="855">
        <f>IF(ISNUMBER(
   IF(J_V="SI",(Datos!K13-Datos!U13)/Datos!U13,(Datos!K13+Datos!AA13-(Datos!U13+Datos!AI13))/(Datos!U13+Datos!AI13))
     ),IF(J_V="SI",(Datos!K13-Datos!U13)/Datos!U13,(Datos!K13+Datos!AA13-(Datos!U13+Datos!AI13))/(Datos!U13+Datos!AI13))," - ")</f>
        <v>0.21800947867298578</v>
      </c>
      <c r="E13" s="855">
        <f>IF(ISNUMBER(
   IF(J_V="SI",(Datos!L13-Datos!V13)/Datos!V13,(Datos!L13+Datos!AB13-(Datos!V13+Datos!AJ13))/(Datos!V13+Datos!AJ13))
     ),IF(J_V="SI",(Datos!L13-Datos!V13)/Datos!V13,(Datos!L13+Datos!AB13-(Datos!V13+Datos!AJ13))/(Datos!V13+Datos!AJ13))," - ")</f>
        <v>-7.1830265848670763E-2</v>
      </c>
      <c r="F13" s="856">
        <f>IF(ISNUMBER((Datos!M13-Datos!W13)/Datos!W13),(Datos!M13-Datos!W13)/Datos!W13," - ")</f>
        <v>0.38905775075987842</v>
      </c>
      <c r="G13" s="857">
        <f>IF(ISNUMBER((Datos!N13-Datos!X13)/Datos!X13),(Datos!N13-Datos!X13)/Datos!X13," - ")</f>
        <v>6.9237510955302367E-2</v>
      </c>
      <c r="H13" s="857">
        <f>IF(ISNUMBER(((NºAsuntos!G13/NºAsuntos!E13)-Datos!BD13)/Datos!BD13),((NºAsuntos!G13/NºAsuntos!E13)-Datos!BD13)/Datos!BD13," - ")</f>
        <v>9.7892823389004957E-2</v>
      </c>
      <c r="I13" s="857">
        <f>IF(ISNUMBER(((NºAsuntos!I13/NºAsuntos!G13)-Datos!BE13)/Datos!BE13),((NºAsuntos!I13/NºAsuntos!G13)-Datos!BE13)/Datos!BE13," - ")</f>
        <v>-0.23796181359560126</v>
      </c>
      <c r="J13" s="857">
        <f>IF(ISNUMBER((('Resol  Asuntos'!D13/NºAsuntos!G13)-Datos!BF13)/Datos!BF13),(('Resol  Asuntos'!D13/NºAsuntos!G13)-Datos!BF13)/Datos!BF13," - ")</f>
        <v>-0.66499791550861587</v>
      </c>
      <c r="K13" s="857">
        <f>IF(ISNUMBER((((NºAsuntos!C13+NºAsuntos!E13)/NºAsuntos!G13)-Datos!BG13)/Datos!BG13),(((NºAsuntos!C13+NºAsuntos!E13)/NºAsuntos!G13)-Datos!BG13)/Datos!BG13," - ")</f>
        <v>-0.1710757557587432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0.19198664440734559</v>
      </c>
      <c r="C16" s="456">
        <f>IF(ISNUMBER(
   IF(D_I="SI",(Datos!J16-Datos!T16)/Datos!T16,(Datos!J16+Datos!AD16-(Datos!T16+Datos!AL16))/(Datos!T16+Datos!AL16))
     ),IF(D_I="SI",(Datos!J16-Datos!T16)/Datos!T16,(Datos!J16+Datos!AD16-(Datos!T16+Datos!AL16))/(Datos!T16+Datos!AL16))," - ")</f>
        <v>-6.3688212927756657E-2</v>
      </c>
      <c r="D16" s="456">
        <f>IF(ISNUMBER(
   IF(D_I="SI",(Datos!K16-Datos!U16)/Datos!U16,(Datos!K16+Datos!AE16-(Datos!U16+Datos!AM16))/(Datos!U16+Datos!AM16))
     ),IF(D_I="SI",(Datos!K16-Datos!U16)/Datos!U16,(Datos!K16+Datos!AE16-(Datos!U16+Datos!AM16))/(Datos!U16+Datos!AM16))," - ")</f>
        <v>-0.11840157868771584</v>
      </c>
      <c r="E16" s="456">
        <f>IF(ISNUMBER(
   IF(D_I="SI",(Datos!L16-Datos!V16)/Datos!V16,(Datos!L16+Datos!AF16-(Datos!V16+Datos!AN16))/(Datos!V16+Datos!AN16))
     ),IF(D_I="SI",(Datos!L16-Datos!V16)/Datos!V16,(Datos!L16+Datos!AF16-(Datos!V16+Datos!AN16))/(Datos!V16+Datos!AN16))," - ")</f>
        <v>0.31319290465631927</v>
      </c>
      <c r="F16" s="456">
        <f>IF(ISNUMBER((Datos!M16-Datos!W16)/Datos!W16),(Datos!M16-Datos!W16)/Datos!W16," - ")</f>
        <v>-0.12871287128712872</v>
      </c>
      <c r="G16" s="457">
        <f>IF(ISNUMBER((Datos!N16-Datos!X16)/Datos!X16),(Datos!N16-Datos!X16)/Datos!X16," - ")</f>
        <v>-0.14096916299559473</v>
      </c>
      <c r="H16" s="455">
        <f>IF(ISNUMBER(((NºAsuntos!G16/NºAsuntos!E16)-Datos!BD16)/Datos!BD16),((NºAsuntos!G16/NºAsuntos!E16)-Datos!BD16)/Datos!BD16," - ")</f>
        <v>-5.8434985562920927E-2</v>
      </c>
      <c r="I16" s="456">
        <f>IF(ISNUMBER(((NºAsuntos!I16/NºAsuntos!G16)-Datos!BE16)/Datos!BE16),((NºAsuntos!I16/NºAsuntos!G16)-Datos!BE16)/Datos!BE16," - ")</f>
        <v>0.48955904741933931</v>
      </c>
      <c r="J16" s="461">
        <f>IF(ISNUMBER((('Resol  Asuntos'!D16/NºAsuntos!G16)-Datos!BF16)/Datos!BF16),(('Resol  Asuntos'!D16/NºAsuntos!G16)-Datos!BF16)/Datos!BF16," - ")</f>
        <v>-1.169613323951311E-2</v>
      </c>
      <c r="K16" s="462">
        <f>IF(ISNUMBER((((NºAsuntos!C16+NºAsuntos!E16)/NºAsuntos!G16)-Datos!BG16)/Datos!BG16),(((NºAsuntos!C16+NºAsuntos!E16)/NºAsuntos!G16)-Datos!BG16)/Datos!BG16," - ")</f>
        <v>0.19565628717587372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-0.12755102040816327</v>
      </c>
      <c r="C17" s="456">
        <f>IF(ISNUMBER(
   IF(D_I="SI",(Datos!J17-Datos!T17)/Datos!T17,(Datos!J17+Datos!AD17-(Datos!T17+Datos!AL17))/(Datos!T17+Datos!AL17))
     ),IF(D_I="SI",(Datos!J17-Datos!T17)/Datos!T17,(Datos!J17+Datos!AD17-(Datos!T17+Datos!AL17))/(Datos!T17+Datos!AL17))," - ")</f>
        <v>-5.0724637681159424E-2</v>
      </c>
      <c r="D17" s="456">
        <f>IF(ISNUMBER(
   IF(D_I="SI",(Datos!K17-Datos!U17)/Datos!U17,(Datos!K17+Datos!AE17-(Datos!U17+Datos!AM17))/(Datos!U17+Datos!AM17))
     ),IF(D_I="SI",(Datos!K17-Datos!U17)/Datos!U17,(Datos!K17+Datos!AE17-(Datos!U17+Datos!AM17))/(Datos!U17+Datos!AM17))," - ")</f>
        <v>-6.2937062937062943E-2</v>
      </c>
      <c r="E17" s="456">
        <f>IF(ISNUMBER(
   IF(D_I="SI",(Datos!L17-Datos!V17)/Datos!V17,(Datos!L17+Datos!AF17-(Datos!V17+Datos!AN17))/(Datos!V17+Datos!AN17))
     ),IF(D_I="SI",(Datos!L17-Datos!V17)/Datos!V17,(Datos!L17+Datos!AF17-(Datos!V17+Datos!AN17))/(Datos!V17+Datos!AN17))," - ")</f>
        <v>-0.12041884816753927</v>
      </c>
      <c r="F17" s="456">
        <f>IF(ISNUMBER((Datos!M17-Datos!W17)/Datos!W17),(Datos!M17-Datos!W17)/Datos!W17," - ")</f>
        <v>-0.25</v>
      </c>
      <c r="G17" s="457">
        <f>IF(ISNUMBER((Datos!N17-Datos!X17)/Datos!X17),(Datos!N17-Datos!X17)/Datos!X17," - ")</f>
        <v>-3.4090909090909088E-2</v>
      </c>
      <c r="H17" s="455">
        <f>IF(ISNUMBER(((NºAsuntos!G17/NºAsuntos!E17)-Datos!BD17)/Datos!BD17),((NºAsuntos!G17/NºAsuntos!E17)-Datos!BD17)/Datos!BD17," - ")</f>
        <v>-1.2864997597822038E-2</v>
      </c>
      <c r="I17" s="456">
        <f>IF(ISNUMBER(((NºAsuntos!I17/NºAsuntos!G17)-Datos!BE17)/Datos!BE17),((NºAsuntos!I17/NºAsuntos!G17)-Datos!BE17)/Datos!BE17," - ")</f>
        <v>-6.1342502148941082E-2</v>
      </c>
      <c r="J17" s="461">
        <f>IF(ISNUMBER((('Resol  Asuntos'!D17/NºAsuntos!G17)-Datos!BF17)/Datos!BF17),(('Resol  Asuntos'!D17/NºAsuntos!G17)-Datos!BF17)/Datos!BF17," - ")</f>
        <v>-0.19962686567164184</v>
      </c>
      <c r="K17" s="462">
        <f>IF(ISNUMBER((((NºAsuntos!C17+NºAsuntos!E17)/NºAsuntos!G17)-Datos!BG17)/Datos!BG17),(((NºAsuntos!C17+NºAsuntos!E17)/NºAsuntos!G17)-Datos!BG17)/Datos!BG17," - ")</f>
        <v>-3.5079095540262804E-2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0.16056196688409433</v>
      </c>
      <c r="C18" s="855">
        <f>IF(ISNUMBER(
   IF(Criterios!B14="SI",(Datos!J18-Datos!T18)/Datos!T18,(Datos!J18+Datos!AD18-(Datos!T18+Datos!AL18))/(Datos!T18+Datos!AL18))
     ),IF(Criterios!B14="SI",(Datos!J18-Datos!T18)/Datos!T18,(Datos!J18+Datos!AD18-(Datos!T18+Datos!AL18))/(Datos!T18+Datos!AL18))," - ")</f>
        <v>-6.2890276538804635E-2</v>
      </c>
      <c r="D18" s="855">
        <f>IF(ISNUMBER(
   IF(Criterios!B14="SI",(Datos!K18-Datos!U18)/Datos!U18,(Datos!K18+Datos!AE18-(Datos!U18+Datos!AM18))/(Datos!U18+Datos!AM18))
     ),IF(Criterios!B14="SI",(Datos!K18-Datos!U18)/Datos!U18,(Datos!K18+Datos!AE18-(Datos!U18+Datos!AM18))/(Datos!U18+Datos!AM18))," - ")</f>
        <v>-0.11474654377880185</v>
      </c>
      <c r="E18" s="855">
        <f>IF(ISNUMBER(
   IF(Criterios!B14="SI",(Datos!L18-Datos!V18)/Datos!V18,(Datos!L18+Datos!AF18-(Datos!V18+Datos!AN18))/(Datos!V18+Datos!AN18))
     ),IF(Criterios!B14="SI",(Datos!L18-Datos!V18)/Datos!V18,(Datos!L18+Datos!AF18-(Datos!V18+Datos!AN18))/(Datos!V18+Datos!AN18))," - ")</f>
        <v>0.27167919799498746</v>
      </c>
      <c r="F18" s="856">
        <f>IF(ISNUMBER((Datos!M18-Datos!W18)/Datos!W18),(Datos!M18-Datos!W18)/Datos!W18," - ")</f>
        <v>-0.13333333333333333</v>
      </c>
      <c r="G18" s="857">
        <f>IF(ISNUMBER((Datos!N18-Datos!X18)/Datos!X18),(Datos!N18-Datos!X18)/Datos!X18," - ")</f>
        <v>-0.13327882256745707</v>
      </c>
      <c r="H18" s="857">
        <f>IF(ISNUMBER(((NºAsuntos!G18/NºAsuntos!E18)-Datos!BD18)/Datos!BD18),((NºAsuntos!G18/NºAsuntos!E18)-Datos!BD18)/Datos!BD18," - ")</f>
        <v>-5.5336387982900311E-2</v>
      </c>
      <c r="I18" s="857">
        <f>IF(ISNUMBER(((NºAsuntos!I18/NºAsuntos!G18)-Datos!BE18)/Datos!BE18),((NºAsuntos!I18/NºAsuntos!G18)-Datos!BE18)/Datos!BE18," - ")</f>
        <v>0.43651424239933534</v>
      </c>
      <c r="J18" s="857">
        <f>IF(ISNUMBER((('Resol  Asuntos'!D18/NºAsuntos!G18)-Datos!BF18)/Datos!BF18),(('Resol  Asuntos'!D18/NºAsuntos!G18)-Datos!BF18)/Datos!BF18," - ")</f>
        <v>-2.0996009023078244E-2</v>
      </c>
      <c r="K18" s="857">
        <f>IF(ISNUMBER((((NºAsuntos!C18+NºAsuntos!E18)/NºAsuntos!G18)-Datos!BG18)/Datos!BG18),(((NºAsuntos!C18+NºAsuntos!E18)/NºAsuntos!G18)-Datos!BG18)/Datos!BG18," - ")</f>
        <v>0.17736543897160995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1.5300200485385671E-2</v>
      </c>
      <c r="C19" s="802">
        <f>IF(ISNUMBER(
   IF(J_V="SI",(Datos!J19-Datos!T19)/Datos!T19,(Datos!J19+Datos!Z19-(Datos!T19+Datos!AH19))/(Datos!T19+Datos!AH19))
     ),IF(J_V="SI",(Datos!J19-Datos!T19)/Datos!T19,(Datos!J19+Datos!Z19-(Datos!T19+Datos!AH19))/(Datos!T19+Datos!AH19))," - ")</f>
        <v>2.7548209366391185E-2</v>
      </c>
      <c r="D19" s="802">
        <f>IF(ISNUMBER(
   IF(J_V="SI",(Datos!K19-Datos!U19)/Datos!U19,(Datos!K19+Datos!AA19-(Datos!U19+Datos!AI19))/(Datos!U19+Datos!AI19))
     ),IF(J_V="SI",(Datos!K19-Datos!U19)/Datos!U19,(Datos!K19+Datos!AA19-(Datos!U19+Datos!AI19))/(Datos!U19+Datos!AI19))," - ")</f>
        <v>4.9299065420560749E-2</v>
      </c>
      <c r="E19" s="802">
        <f>IF(ISNUMBER(
   IF(J_V="SI",(Datos!L19-Datos!V19)/Datos!V19,(Datos!L19+Datos!AB19-(Datos!V19+Datos!AJ19))/(Datos!V19+Datos!AJ19))
     ),IF(J_V="SI",(Datos!L19-Datos!V19)/Datos!V19,(Datos!L19+Datos!AB19-(Datos!V19+Datos!AJ19))/(Datos!V19+Datos!AJ19))," - ")</f>
        <v>-2.0368672980955291E-3</v>
      </c>
      <c r="F19" s="803">
        <f>IF(ISNUMBER((Datos!M19-Datos!W19)/Datos!W19),(Datos!M19-Datos!W19)/Datos!W19," - ")</f>
        <v>0.13354037267080746</v>
      </c>
      <c r="G19" s="804">
        <f>IF(ISNUMBER((Datos!N19-Datos!X19)/Datos!X19),(Datos!N19-Datos!X19)/Datos!X19," - ")</f>
        <v>-3.553299492385787E-2</v>
      </c>
      <c r="H19" s="805">
        <f>IF(ISNUMBER((Tasas!B19-Datos!BD19)/Datos!BD19),(Tasas!B19-Datos!BD19)/Datos!BD19," - ")</f>
        <v>2.1167723184084591E-2</v>
      </c>
      <c r="I19" s="806">
        <f>IF(ISNUMBER((Tasas!C19-Datos!BE19)/Datos!BE19),(Tasas!C19-Datos!BE19)/Datos!BE19," - ")</f>
        <v>-4.8924024056078562E-2</v>
      </c>
      <c r="J19" s="807">
        <f>IF(ISNUMBER((Tasas!D19-Datos!BF19)/Datos!BF19),(Tasas!D19-Datos!BF19)/Datos!BF19," - ")</f>
        <v>-0.51518988422062861</v>
      </c>
      <c r="K19" s="807">
        <f>IF(ISNUMBER((Tasas!E19-Datos!BG19)/Datos!BG19),(Tasas!E19-Datos!BG19)/Datos!BG19," - ")</f>
        <v>-2.8521336213643882E-2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96bIAnCYEIJ8Gh7VABnDJbXYMcQYVuWoin3/5SKlRn6Wh/edaAvIi/sRINujXACrq62iRyABk6oJ1N5NyCCPg==" saltValue="cEjKtSB+HpPeUNmrGFJI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NAVALCARNERO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1.0192307692307692</v>
      </c>
      <c r="C10" s="443">
        <f>IF(ISNUMBER(NºAsuntos!I10/NºAsuntos!G10),NºAsuntos!I10/NºAsuntos!G10," - ")</f>
        <v>1.4905660377358489</v>
      </c>
      <c r="D10" s="444">
        <f>IF(ISNUMBER('Resol  Asuntos'!D10/NºAsuntos!G10),'Resol  Asuntos'!D10/NºAsuntos!G10," - ")</f>
        <v>0.26415094339622641</v>
      </c>
      <c r="E10" s="445">
        <f>IF(ISNUMBER((NºAsuntos!C10+NºAsuntos!E10)/NºAsuntos!G10),(NºAsuntos!C10+NºAsuntos!E10)/NºAsuntos!G10," - ")</f>
        <v>2.4905660377358489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0.9336053412462908</v>
      </c>
      <c r="C12" s="443">
        <f>IF(ISNUMBER(NºAsuntos!I12/NºAsuntos!G12),NºAsuntos!I12/NºAsuntos!G12," - ")</f>
        <v>2.8537941994437821</v>
      </c>
      <c r="D12" s="444">
        <f>IF(ISNUMBER('Resol  Asuntos'!D12/NºAsuntos!G12),'Resol  Asuntos'!D12/NºAsuntos!G12," - ")</f>
        <v>0.17600317838696861</v>
      </c>
      <c r="E12" s="445">
        <f>IF(ISNUMBER((NºAsuntos!C12+NºAsuntos!E12)/NºAsuntos!G12),(NºAsuntos!C12+NºAsuntos!E12)/NºAsuntos!G12," - ")</f>
        <v>3.943186332936035</v>
      </c>
      <c r="G12" s="463"/>
    </row>
    <row r="13" spans="1:7" ht="14.25" thickTop="1" thickBot="1">
      <c r="A13" s="848" t="str">
        <f>Datos!A13</f>
        <v>TOTAL</v>
      </c>
      <c r="B13" s="858">
        <f>IF(ISNUMBER(NºAsuntos!G13/NºAsuntos!E13),NºAsuntos!G13/NºAsuntos!E13," - ")</f>
        <v>0.93522561863173215</v>
      </c>
      <c r="C13" s="859">
        <f>IF(ISNUMBER(NºAsuntos!I13/NºAsuntos!G13),NºAsuntos!I13/NºAsuntos!G13," - ")</f>
        <v>2.8256809338521403</v>
      </c>
      <c r="D13" s="860">
        <f>IF(ISNUMBER('Resol  Asuntos'!D13/NºAsuntos!G13),'Resol  Asuntos'!D13/NºAsuntos!G13," - ")</f>
        <v>0.17782101167315176</v>
      </c>
      <c r="E13" s="861">
        <f>IF(ISNUMBER((NºAsuntos!C13+NºAsuntos!E13)/NºAsuntos!G13),(NºAsuntos!C13+NºAsuntos!E13)/NºAsuntos!G13," - ")</f>
        <v>3.9132295719844357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0.90710659898477153</v>
      </c>
      <c r="C16" s="443">
        <f>IF(ISNUMBER(NºAsuntos!I16/NºAsuntos!G16),NºAsuntos!I16/NºAsuntos!G16," - ")</f>
        <v>1.3256855064353665</v>
      </c>
      <c r="D16" s="444">
        <f>IF(ISNUMBER('Resol  Asuntos'!D16/NºAsuntos!G16),'Resol  Asuntos'!D16/NºAsuntos!G16," - ")</f>
        <v>0.14773363178511473</v>
      </c>
      <c r="E16" s="445">
        <f>IF(ISNUMBER((NºAsuntos!C16+NºAsuntos!E16)/NºAsuntos!G16),(NºAsuntos!C16+NºAsuntos!E16)/NºAsuntos!G16," - ")</f>
        <v>2.3010632344711808</v>
      </c>
      <c r="G16" s="463"/>
    </row>
    <row r="17" spans="1:7" ht="13.5" thickBot="1">
      <c r="A17" s="402" t="str">
        <f>Datos!A17</f>
        <v>Jdos. Violencia contra la mujer</v>
      </c>
      <c r="B17" s="442">
        <f>IF(ISNUMBER(NºAsuntos!G17/NºAsuntos!E17),NºAsuntos!G17/NºAsuntos!E17," - ")</f>
        <v>1.0229007633587786</v>
      </c>
      <c r="C17" s="443">
        <f>IF(ISNUMBER(NºAsuntos!I17/NºAsuntos!G17),NºAsuntos!I17/NºAsuntos!G17," - ")</f>
        <v>1.2537313432835822</v>
      </c>
      <c r="D17" s="444">
        <f>IF(ISNUMBER('Resol  Asuntos'!D17/NºAsuntos!G17),'Resol  Asuntos'!D17/NºAsuntos!G17," - ")</f>
        <v>6.7164179104477612E-2</v>
      </c>
      <c r="E17" s="445">
        <f>IF(ISNUMBER((NºAsuntos!C17+NºAsuntos!E17)/NºAsuntos!G17),(NºAsuntos!C17+NºAsuntos!E17)/NºAsuntos!G17," - ")</f>
        <v>2.2537313432835822</v>
      </c>
      <c r="G17" s="463"/>
    </row>
    <row r="18" spans="1:7" ht="14.25" thickTop="1" thickBot="1">
      <c r="A18" s="848" t="str">
        <f>Datos!A18</f>
        <v>TOTAL</v>
      </c>
      <c r="B18" s="858">
        <f>IF(ISNUMBER(NºAsuntos!G18/NºAsuntos!E18),NºAsuntos!G18/NºAsuntos!E18," - ")</f>
        <v>0.91432651118514996</v>
      </c>
      <c r="C18" s="859">
        <f>IF(ISNUMBER(NºAsuntos!I18/NºAsuntos!G18),NºAsuntos!I18/NºAsuntos!G18," - ")</f>
        <v>1.3206663196251953</v>
      </c>
      <c r="D18" s="862">
        <f>IF(ISNUMBER('Resol  Asuntos'!D18/NºAsuntos!G18),'Resol  Asuntos'!D18/NºAsuntos!G18," - ")</f>
        <v>0.14211348256116607</v>
      </c>
      <c r="E18" s="861">
        <f>IF(ISNUMBER((NºAsuntos!C18+NºAsuntos!E18)/NºAsuntos!G18),(NºAsuntos!C18+NºAsuntos!E18)/NºAsuntos!G18," - ")</f>
        <v>2.2977615825091098</v>
      </c>
      <c r="G18" s="463"/>
    </row>
    <row r="19" spans="1:7" ht="15.75" customHeight="1" thickTop="1" thickBot="1">
      <c r="A19" s="793" t="str">
        <f>Datos!A19</f>
        <v>TOTAL JURISDICCIONES</v>
      </c>
      <c r="B19" s="808">
        <f>IF(ISNUMBER(NºAsuntos!G19/NºAsuntos!E19),NºAsuntos!G19/NºAsuntos!E19," - ")</f>
        <v>0.9261703444009074</v>
      </c>
      <c r="C19" s="809">
        <f>IF(ISNUMBER(NºAsuntos!I19/NºAsuntos!G19),NºAsuntos!I19/NºAsuntos!G19," - ")</f>
        <v>2.1819193943442441</v>
      </c>
      <c r="D19" s="810">
        <f>IF(ISNUMBER('Resol  Asuntos'!D19/NºAsuntos!G19),'Resol  Asuntos'!D19/NºAsuntos!G19," - ")</f>
        <v>0.1625473168559341</v>
      </c>
      <c r="E19" s="811">
        <f>IF(ISNUMBER((NºAsuntos!C19+NºAsuntos!E19)/NºAsuntos!G19),(NºAsuntos!C19+NºAsuntos!E19)/NºAsuntos!G19," - ")</f>
        <v>3.2222222222222223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xsf5hcB0CeSHYJeGtkHl1mZE4kp62DW6PkFEXVJ41Y9I6/fatenfCXXbuDzjHdWxEweCCViIoO6TT2TYKt5A==" saltValue="BSO7WhqzS2ZPpIjXisc3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NAVALCARNERO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80</v>
      </c>
      <c r="G10" s="333">
        <f>IF(ISNUMBER(Datos!I10),Datos!I10," - ")</f>
        <v>80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53</v>
      </c>
      <c r="X10" s="226">
        <f>IF(ISNUMBER(Datos!Q10),Datos!Q10," - ")</f>
        <v>9</v>
      </c>
      <c r="Y10" s="334">
        <f t="shared" ref="Y10:Y12" si="0">SUM(W10:X10)</f>
        <v>62</v>
      </c>
      <c r="Z10" s="335" t="str">
        <f>IF(ISNUMBER(Datos!CC10),Datos!CC10," - ")</f>
        <v xml:space="preserve"> - </v>
      </c>
      <c r="AA10" s="332">
        <f>IF(ISNUMBER(Datos!L10),Datos!L10,"-")</f>
        <v>79</v>
      </c>
      <c r="AB10" s="334">
        <f>IF(ISNUMBER(Datos!R10),Datos!R10," - ")</f>
        <v>71</v>
      </c>
      <c r="AC10" s="334">
        <f t="shared" ref="AC10:AC12" si="1">IF(ISNUMBER(AA10+AB10),AA10+AB10," - ")</f>
        <v>150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1.0192307692307692</v>
      </c>
      <c r="AM10" s="260">
        <f>IF(ISNUMBER(((NºAsuntos!I10/NºAsuntos!G10)*11)/factor_trimestre),((NºAsuntos!I10/NºAsuntos!G10)*11)/factor_trimestre," - ")</f>
        <v>4.4716981132075473</v>
      </c>
      <c r="AN10" s="244">
        <f>IF(ISNUMBER('Resol  Asuntos'!D10/NºAsuntos!G10),'Resol  Asuntos'!D10/NºAsuntos!G10," - ")</f>
        <v>0.26415094339622641</v>
      </c>
      <c r="AO10" s="245">
        <f>IF(ISNUMBER((NºAsuntos!C10+NºAsuntos!E10)/NºAsuntos!G10),(NºAsuntos!C10+NºAsuntos!E10)/NºAsuntos!G10," - ")</f>
        <v>2.4905660377358489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300</v>
      </c>
      <c r="Y12" s="334">
        <f t="shared" si="0"/>
        <v>300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443</v>
      </c>
      <c r="AJ12" s="229" t="str">
        <f>IF(ISNUMBER(Datos!BW12),Datos!BW12," - ")</f>
        <v xml:space="preserve"> - </v>
      </c>
      <c r="AK12" s="228" t="str">
        <f>IF(ISNUMBER(Datos!BX12),Datos!BX12," - ")</f>
        <v xml:space="preserve"> - </v>
      </c>
      <c r="AL12" s="243">
        <f>IF(ISNUMBER(NºAsuntos!G12/NºAsuntos!E12),NºAsuntos!G12/NºAsuntos!E12," - ")</f>
        <v>0.9336053412462908</v>
      </c>
      <c r="AM12" s="260">
        <f>IF(ISNUMBER(((NºAsuntos!I12/NºAsuntos!G12)*11)/factor_trimestre),((NºAsuntos!I12/NºAsuntos!G12)*11)/factor_trimestre," - ")</f>
        <v>8.5613825983313472</v>
      </c>
      <c r="AN12" s="244">
        <f>IF(ISNUMBER('Resol  Asuntos'!D12/NºAsuntos!G12),'Resol  Asuntos'!D12/NºAsuntos!G12," - ")</f>
        <v>0.17600317838696861</v>
      </c>
      <c r="AO12" s="245">
        <f>IF(ISNUMBER((NºAsuntos!C12+NºAsuntos!E12)/NºAsuntos!G12),(NºAsuntos!C12+NºAsuntos!E12)/NºAsuntos!G12," - ")</f>
        <v>3.943186332936035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80</v>
      </c>
      <c r="G13" s="866">
        <f t="shared" si="3"/>
        <v>80</v>
      </c>
      <c r="H13" s="865">
        <f t="shared" si="3"/>
        <v>0</v>
      </c>
      <c r="I13" s="867">
        <f t="shared" si="3"/>
        <v>0</v>
      </c>
      <c r="J13" s="867">
        <f t="shared" si="3"/>
        <v>0</v>
      </c>
      <c r="K13" s="867">
        <f t="shared" si="3"/>
        <v>0</v>
      </c>
      <c r="L13" s="867">
        <f t="shared" si="3"/>
        <v>530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53</v>
      </c>
      <c r="X13" s="867">
        <f t="shared" si="4"/>
        <v>309</v>
      </c>
      <c r="Y13" s="868">
        <f t="shared" si="4"/>
        <v>362</v>
      </c>
      <c r="Z13" s="868">
        <f t="shared" si="4"/>
        <v>0</v>
      </c>
      <c r="AA13" s="868">
        <f t="shared" si="4"/>
        <v>79</v>
      </c>
      <c r="AB13" s="868">
        <f t="shared" si="4"/>
        <v>8665</v>
      </c>
      <c r="AC13" s="868">
        <f t="shared" si="4"/>
        <v>150</v>
      </c>
      <c r="AD13" s="868">
        <f t="shared" si="4"/>
        <v>0</v>
      </c>
      <c r="AE13" s="872">
        <f t="shared" si="4"/>
        <v>0</v>
      </c>
      <c r="AF13" s="865">
        <f t="shared" si="4"/>
        <v>0</v>
      </c>
      <c r="AG13" s="873">
        <f t="shared" si="4"/>
        <v>0</v>
      </c>
      <c r="AH13" s="870">
        <f t="shared" si="4"/>
        <v>0</v>
      </c>
      <c r="AI13" s="865">
        <f t="shared" si="4"/>
        <v>457</v>
      </c>
      <c r="AJ13" s="867">
        <f t="shared" si="4"/>
        <v>0</v>
      </c>
      <c r="AK13" s="870">
        <f>SUBTOTAL(9,AK9:AK12)</f>
        <v>0</v>
      </c>
      <c r="AL13" s="874">
        <f>IF(ISNUMBER(NºAsuntos!G13/NºAsuntos!E13),NºAsuntos!G13/NºAsuntos!E13," - ")</f>
        <v>0.93522561863173215</v>
      </c>
      <c r="AM13" s="874">
        <f>IF(ISNUMBER(((NºAsuntos!I13/NºAsuntos!G13)*11)/factor_trimestre),((NºAsuntos!I13/NºAsuntos!G13)*11)/factor_trimestre," - ")</f>
        <v>8.4770428015564221</v>
      </c>
      <c r="AN13" s="875">
        <f>IF(ISNUMBER('Resol  Asuntos'!D13/NºAsuntos!G13),'Resol  Asuntos'!D13/NºAsuntos!G13," - ")</f>
        <v>0.17782101167315176</v>
      </c>
      <c r="AO13" s="876">
        <f>IF(ISNUMBER((NºAsuntos!C13+NºAsuntos!E13)/NºAsuntos!G13),(NºAsuntos!C13+NºAsuntos!E13)/NºAsuntos!G13," - ")</f>
        <v>3.9132295719844357</v>
      </c>
      <c r="AP13" s="877" t="str">
        <f t="shared" si="2"/>
        <v xml:space="preserve"> - </v>
      </c>
      <c r="AQ13" s="877">
        <f>IF(ISNUMBER((H13-W13+K13)/(F13)),(H13-W13+K13)/(F13)," - ")</f>
        <v>-0.66249999999999998</v>
      </c>
      <c r="AR13" s="878">
        <f>IF(ISNUMBER((Datos!P13-Datos!Q13)/(Datos!R13-Datos!P13+Datos!Q13)),(Datos!P13-Datos!Q13)/(Datos!R13-Datos!P13+Datos!Q13)," - ")</f>
        <v>2.6172430127901467E-2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2186</v>
      </c>
      <c r="G16" s="333">
        <f>IF(ISNUMBER(IF(D_I="SI",Datos!I16,Datos!I16+Datos!AC16)),IF(D_I="SI",Datos!I16,Datos!I16+Datos!AC16)," - ")</f>
        <v>2142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1787</v>
      </c>
      <c r="X16" s="226">
        <f>IF(ISNUMBER(Datos!Q16),Datos!Q16," - ")</f>
        <v>147</v>
      </c>
      <c r="Y16" s="334">
        <f t="shared" ref="Y16:Y17" si="7">SUM(W16:X16)</f>
        <v>1934</v>
      </c>
      <c r="Z16" s="335" t="str">
        <f>IF(ISNUMBER(Datos!CC16),Datos!CC16," - ")</f>
        <v xml:space="preserve"> - </v>
      </c>
      <c r="AA16" s="332">
        <f>IF(ISNUMBER(IF(D_I="SI",Datos!L16,Datos!L16+Datos!AF16)),IF(D_I="SI",Datos!L16,Datos!L16+Datos!AF16)," - ")</f>
        <v>2369</v>
      </c>
      <c r="AB16" s="334">
        <f>IF(ISNUMBER(Datos!R16),Datos!R16," - ")</f>
        <v>349</v>
      </c>
      <c r="AC16" s="334">
        <f t="shared" si="6"/>
        <v>2718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264</v>
      </c>
      <c r="AJ16" s="231" t="str">
        <f>IF(ISNUMBER(Datos!BW16),Datos!BW16," - ")</f>
        <v xml:space="preserve"> - </v>
      </c>
      <c r="AK16" s="232" t="str">
        <f>IF(ISNUMBER(Datos!BX16),Datos!BX16," - ")</f>
        <v xml:space="preserve"> - </v>
      </c>
      <c r="AL16" s="243">
        <f>IF(ISNUMBER(NºAsuntos!G16/NºAsuntos!E16),NºAsuntos!G16/NºAsuntos!E16," - ")</f>
        <v>0.90710659898477153</v>
      </c>
      <c r="AM16" s="260">
        <f>IF(ISNUMBER(((NºAsuntos!I16/NºAsuntos!G16)*11)/factor_trimestre),((NºAsuntos!I16/NºAsuntos!G16)*11)/factor_trimestre," - ")</f>
        <v>3.9770565193060996</v>
      </c>
      <c r="AN16" s="244">
        <f>IF(ISNUMBER('Resol  Asuntos'!D16/NºAsuntos!G16),'Resol  Asuntos'!D16/NºAsuntos!G16," - ")</f>
        <v>0.14773363178511473</v>
      </c>
      <c r="AO16" s="245">
        <f>IF(ISNUMBER((NºAsuntos!C16+NºAsuntos!E16)/NºAsuntos!G16),(NºAsuntos!C16+NºAsuntos!E16)/NºAsuntos!G16," - ")</f>
        <v>2.3010632344711808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134</v>
      </c>
      <c r="X17" s="226">
        <f>IF(ISNUMBER(Datos!Q17),Datos!Q17," - ")</f>
        <v>0</v>
      </c>
      <c r="Y17" s="334">
        <f t="shared" si="7"/>
        <v>134</v>
      </c>
      <c r="Z17" s="335" t="str">
        <f>IF(ISNUMBER(Datos!CC17),Datos!CC17," - ")</f>
        <v xml:space="preserve"> - </v>
      </c>
      <c r="AA17" s="332">
        <f>IF(ISNUMBER(Datos!L17),Datos!L17,"-")</f>
        <v>168</v>
      </c>
      <c r="AB17" s="334">
        <f>IF(ISNUMBER(Datos!R17),Datos!R17," - ")</f>
        <v>0</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1.0229007633587786</v>
      </c>
      <c r="AM17" s="260">
        <f>IF(ISNUMBER(((NºAsuntos!I17/NºAsuntos!G17)*11)/factor_trimestre),((NºAsuntos!I17/NºAsuntos!G17)*11)/factor_trimestre," - ")</f>
        <v>3.7611940298507465</v>
      </c>
      <c r="AN17" s="244">
        <f>IF(ISNUMBER('Resol  Asuntos'!D17/NºAsuntos!G17),'Resol  Asuntos'!D17/NºAsuntos!G17," - ")</f>
        <v>6.7164179104477612E-2</v>
      </c>
      <c r="AO17" s="245">
        <f>IF(ISNUMBER((NºAsuntos!C17+NºAsuntos!E17)/NºAsuntos!G17),(NºAsuntos!C17+NºAsuntos!E17)/NºAsuntos!G17," - ")</f>
        <v>2.2537313432835822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2186</v>
      </c>
      <c r="G18" s="866">
        <f>SUBTOTAL(9,G15:G17)</f>
        <v>2313</v>
      </c>
      <c r="H18" s="865">
        <f t="shared" ref="H18:O18" si="10">SUBTOTAL(9,H14:H17)</f>
        <v>0</v>
      </c>
      <c r="I18" s="867">
        <f t="shared" si="10"/>
        <v>0</v>
      </c>
      <c r="J18" s="867">
        <f t="shared" si="10"/>
        <v>0</v>
      </c>
      <c r="K18" s="867">
        <f t="shared" si="10"/>
        <v>0</v>
      </c>
      <c r="L18" s="867">
        <f t="shared" si="10"/>
        <v>128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1921</v>
      </c>
      <c r="X18" s="867">
        <f t="shared" si="11"/>
        <v>147</v>
      </c>
      <c r="Y18" s="868">
        <f t="shared" si="11"/>
        <v>2068</v>
      </c>
      <c r="Z18" s="868">
        <f t="shared" si="11"/>
        <v>0</v>
      </c>
      <c r="AA18" s="868">
        <f t="shared" si="11"/>
        <v>2537</v>
      </c>
      <c r="AB18" s="868">
        <f t="shared" si="11"/>
        <v>349</v>
      </c>
      <c r="AC18" s="868">
        <f t="shared" si="11"/>
        <v>2886</v>
      </c>
      <c r="AD18" s="868">
        <f t="shared" si="11"/>
        <v>0</v>
      </c>
      <c r="AE18" s="872">
        <f t="shared" si="11"/>
        <v>0</v>
      </c>
      <c r="AF18" s="865">
        <f t="shared" si="11"/>
        <v>0</v>
      </c>
      <c r="AG18" s="873">
        <f t="shared" si="11"/>
        <v>0</v>
      </c>
      <c r="AH18" s="870">
        <f t="shared" si="11"/>
        <v>0</v>
      </c>
      <c r="AI18" s="865">
        <f t="shared" si="11"/>
        <v>273</v>
      </c>
      <c r="AJ18" s="867">
        <f t="shared" si="11"/>
        <v>0</v>
      </c>
      <c r="AK18" s="870">
        <f t="shared" si="11"/>
        <v>0</v>
      </c>
      <c r="AL18" s="874">
        <f>IF(ISNUMBER(NºAsuntos!G18/NºAsuntos!E18),NºAsuntos!G18/NºAsuntos!E18," - ")</f>
        <v>0.91432651118514996</v>
      </c>
      <c r="AM18" s="874">
        <f>IF(ISNUMBER(((NºAsuntos!I18/NºAsuntos!G18)*11)/factor_trimestre),((NºAsuntos!I18/NºAsuntos!G18)*11)/factor_trimestre," - ")</f>
        <v>3.9619989588755864</v>
      </c>
      <c r="AN18" s="875">
        <f>IF(ISNUMBER('Resol  Asuntos'!D18/NºAsuntos!G18),'Resol  Asuntos'!D18/NºAsuntos!G18," - ")</f>
        <v>0.14211348256116607</v>
      </c>
      <c r="AO18" s="876">
        <f>IF(ISNUMBER((NºAsuntos!C18+NºAsuntos!E18)/NºAsuntos!G18),(NºAsuntos!C18+NºAsuntos!E18)/NºAsuntos!G18," - ")</f>
        <v>2.2977615825091098</v>
      </c>
      <c r="AP18" s="877" t="str">
        <f t="shared" si="2"/>
        <v xml:space="preserve"> - </v>
      </c>
      <c r="AQ18" s="877">
        <f>IF(ISNUMBER((H18-W18+K18)/(F18)),(H18-W18+K18)/(F18)," - ")</f>
        <v>-0.87877401646843545</v>
      </c>
      <c r="AR18" s="878">
        <f>IF(ISNUMBER((Datos!P18-Datos!Q18)/(Datos!R18-Datos!P18+Datos!Q18)),(Datos!P18-Datos!Q18)/(Datos!R18-Datos!P18+Datos!Q18)," - ")</f>
        <v>-5.1630434782608696E-2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2266</v>
      </c>
      <c r="G19" s="821">
        <f t="shared" si="13"/>
        <v>2393</v>
      </c>
      <c r="H19" s="820">
        <f t="shared" si="13"/>
        <v>0</v>
      </c>
      <c r="I19" s="822">
        <f t="shared" si="13"/>
        <v>0</v>
      </c>
      <c r="J19" s="822">
        <f t="shared" si="13"/>
        <v>0</v>
      </c>
      <c r="K19" s="881">
        <f t="shared" si="13"/>
        <v>0</v>
      </c>
      <c r="L19" s="822">
        <f t="shared" si="13"/>
        <v>658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1974</v>
      </c>
      <c r="X19" s="821">
        <f t="shared" si="14"/>
        <v>456</v>
      </c>
      <c r="Y19" s="828">
        <f t="shared" si="14"/>
        <v>2430</v>
      </c>
      <c r="Z19" s="828">
        <f t="shared" si="14"/>
        <v>0</v>
      </c>
      <c r="AA19" s="828">
        <f t="shared" si="14"/>
        <v>2616</v>
      </c>
      <c r="AB19" s="828">
        <f t="shared" si="14"/>
        <v>9014</v>
      </c>
      <c r="AC19" s="828">
        <f t="shared" si="14"/>
        <v>3036</v>
      </c>
      <c r="AD19" s="828">
        <f t="shared" si="14"/>
        <v>0</v>
      </c>
      <c r="AE19" s="830">
        <f t="shared" si="14"/>
        <v>0</v>
      </c>
      <c r="AF19" s="831">
        <f t="shared" si="14"/>
        <v>0</v>
      </c>
      <c r="AG19" s="832">
        <f t="shared" si="14"/>
        <v>0</v>
      </c>
      <c r="AH19" s="830">
        <f t="shared" si="14"/>
        <v>0</v>
      </c>
      <c r="AI19" s="820">
        <f t="shared" si="14"/>
        <v>730</v>
      </c>
      <c r="AJ19" s="820">
        <f t="shared" si="14"/>
        <v>0</v>
      </c>
      <c r="AK19" s="830">
        <f t="shared" si="14"/>
        <v>0</v>
      </c>
      <c r="AL19" s="884">
        <f>IF(ISNUMBER(NºAsuntos!G19/NºAsuntos!E19),NºAsuntos!G19/NºAsuntos!E19," - ")</f>
        <v>0.9261703444009074</v>
      </c>
      <c r="AM19" s="885">
        <f>IF(ISNUMBER(((NºAsuntos!I19/NºAsuntos!G19)*11)/factor_trimestre),((NºAsuntos!I19/NºAsuntos!G19)*11)/factor_trimestre," - ")</f>
        <v>6.5457581830327323</v>
      </c>
      <c r="AN19" s="885">
        <f>IF(ISNUMBER('Resol  Asuntos'!D19/NºAsuntos!G19),'Resol  Asuntos'!D19/NºAsuntos!G19," - ")</f>
        <v>0.1625473168559341</v>
      </c>
      <c r="AO19" s="886">
        <f>IF(ISNUMBER((NºAsuntos!C19+NºAsuntos!E19)/NºAsuntos!G19),(NºAsuntos!C19+NºAsuntos!E19)/NºAsuntos!G19," - ")</f>
        <v>3.2222222222222223</v>
      </c>
      <c r="AP19" s="887" t="str">
        <f t="shared" si="2"/>
        <v xml:space="preserve"> - </v>
      </c>
      <c r="AQ19" s="888">
        <f>IF(OR(ISNUMBER(FIND("01",Criterios!A8,1)),ISNUMBER(FIND("02",Criterios!A8,1)),ISNUMBER(FIND("03",Criterios!A8,1)),ISNUMBER(FIND("04",Criterios!A8,1))),(I19-W19+K19)/(F19-K19),(H19-W19+K19)/(F19-K19))</f>
        <v>-0.87113857016769636</v>
      </c>
      <c r="AR19" s="889">
        <f>IF(ISNUMBER((Datos!P19-Datos!Q19)/(Datos!R19-Datos!P19+Datos!Q19)),(Datos!P19-Datos!Q19)/(Datos!R19-Datos!P19+Datos!Q19)," - ")</f>
        <v>2.2923286427598728E-2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957.2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1215.8996669133519</v>
      </c>
      <c r="G21" s="253">
        <f>IF(ISNUMBER(STDEV(G8:G18)),STDEV(G8:G18),"-")</f>
        <v>1161.7890083831917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973.37598080084149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197.14630776828326</v>
      </c>
      <c r="AJ21" s="252">
        <f t="shared" si="18"/>
        <v>0</v>
      </c>
      <c r="AK21" s="254">
        <f t="shared" si="18"/>
        <v>0</v>
      </c>
      <c r="AL21" s="249">
        <f t="shared" si="18"/>
        <v>5.2023104540599947E-2</v>
      </c>
      <c r="AM21" s="250">
        <f t="shared" si="18"/>
        <v>2.3234941851052935</v>
      </c>
      <c r="AN21" s="250">
        <f t="shared" si="18"/>
        <v>6.3988370751632218E-2</v>
      </c>
      <c r="AO21" s="251">
        <f t="shared" si="18"/>
        <v>0.82642484257411275</v>
      </c>
      <c r="AP21" s="291" t="str">
        <f t="shared" si="18"/>
        <v>-</v>
      </c>
      <c r="AQ21" s="292">
        <f t="shared" si="18"/>
        <v>0.15292882363928156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jYkVl+06bLE09Y4lUtR+H4UGuIDkZzO2iozzQvVEU7+0l2etee6tnh3VYly7jdmMPtmvoAyPMg63GU6BNepmw==" saltValue="wbX/OzAknTjP2eiBNv1/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NAVALCARNERO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-4.7619047619047616E-2</v>
      </c>
      <c r="E10" s="348">
        <f>IF(ISNUMBER((Datos!J10-Datos!T10)/Datos!T10),(Datos!J10-Datos!T10)/Datos!T10," - ")</f>
        <v>2.0588235294117645</v>
      </c>
      <c r="F10" s="348">
        <f>IF(ISNUMBER((Datos!K10-Datos!U10)/Datos!U10),(Datos!K10-Datos!U10)/Datos!U10," - ")</f>
        <v>0.96296296296296291</v>
      </c>
      <c r="G10" s="349">
        <f>IF(ISNUMBER((Datos!L10-Datos!V10)/Datos!V10),(Datos!L10-Datos!V10)/Datos!V10," - ")</f>
        <v>6.7567567567567571E-2</v>
      </c>
      <c r="H10" s="230">
        <f>IF(ISNUMBER((Datos!M10-Datos!W10)/Datos!W10),(Datos!M10-Datos!W10)/Datos!W10," - ")</f>
        <v>1.3333333333333333</v>
      </c>
      <c r="I10" s="350">
        <f>IF(ISNUMBER((Tasas!C10-Datos!BE10)/Datos!BE10),(Tasas!C10-Datos!BE10)/Datos!BE10," - ")</f>
        <v>-0.45614482406935247</v>
      </c>
      <c r="J10" s="349">
        <f>IF(ISNUMBER((Tasas!D10-Datos!BF10)/Datos!BF10),(Tasas!D10-Datos!BF10)/Datos!BF10," - ")</f>
        <v>0.18867924528301891</v>
      </c>
      <c r="K10" s="351">
        <f>IF(ISNUMBER((Tasas!E10-Datos!BG10)/Datos!BG10),(Tasas!E10-Datos!BG10)/Datos!BG10," - ")</f>
        <v>-0.33420511862507013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0.37151702786377711</v>
      </c>
      <c r="I12" s="350">
        <f>IF(ISNUMBER((Tasas!C12-Datos!BE12)/Datos!BE12),(Tasas!C12-Datos!BE12)/Datos!BE12," - ")</f>
        <v>-0.23297376549143248</v>
      </c>
      <c r="J12" s="349">
        <f>IF(ISNUMBER((Tasas!D12-Datos!BF12)/Datos!BF12),(Tasas!D12-Datos!BF12)/Datos!BF12," - ")</f>
        <v>-0.67090249499097343</v>
      </c>
      <c r="K12" s="351">
        <f>IF(ISNUMBER((Tasas!E12-Datos!BG12)/Datos!BG12),(Tasas!E12-Datos!BG12)/Datos!BG12," - ")</f>
        <v>-0.16697189335641374</v>
      </c>
      <c r="M12" t="e">
        <f>IF(Monitorios="SI",Datos!CE12,0)</f>
        <v>#REF!</v>
      </c>
      <c r="N12" t="e">
        <f>IF(Monitorios="SI",Datos!CF12,0)</f>
        <v>#REF!</v>
      </c>
      <c r="O12" t="e">
        <f>IF(Monitorios="SI",Datos!CG12,0)</f>
        <v>#REF!</v>
      </c>
      <c r="P12" t="e">
        <f>IF(Monitorios="SI",Datos!CH12,0)</f>
        <v>#REF!</v>
      </c>
      <c r="Q12">
        <f>IF(J_V="SI",0,Datos!AG12)</f>
        <v>437</v>
      </c>
      <c r="R12">
        <f>IF(J_V="SI",0,Datos!AH12)</f>
        <v>324</v>
      </c>
      <c r="S12">
        <f>IF(J_V="SI",0,Datos!AI12)</f>
        <v>293</v>
      </c>
      <c r="T12">
        <f>IF(J_V="SI",0,Datos!AJ12)</f>
        <v>468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0.38905775075987842</v>
      </c>
      <c r="I13" s="357">
        <f>IF(ISNUMBER((Tasas!C13-Datos!BE13)/Datos!BE13),(Tasas!C13-Datos!BE13)/Datos!BE13," - ")</f>
        <v>-0.23796181359560126</v>
      </c>
      <c r="J13" s="355">
        <f>IF(ISNUMBER((Tasas!D13-Datos!BF13)/Datos!BF13),(Tasas!D13-Datos!BF13)/Datos!BF13," - ")</f>
        <v>-0.66499791550861587</v>
      </c>
      <c r="K13" s="358">
        <f>IF(ISNUMBER((Tasas!E13-Datos!BG13)/Datos!BG13),(Tasas!E13-Datos!BG13)/Datos!BG13," - ")</f>
        <v>-0.1710757557587432</v>
      </c>
      <c r="M13" t="e">
        <f>IF(Monitorios="SI",Datos!CE13,0)</f>
        <v>#REF!</v>
      </c>
      <c r="N13" t="e">
        <f>IF(Monitorios="SI",Datos!CF13,0)</f>
        <v>#REF!</v>
      </c>
      <c r="O13" t="e">
        <f>IF(Monitorios="SI",Datos!CG13,0)</f>
        <v>#REF!</v>
      </c>
      <c r="P13" t="e">
        <f>IF(Monitorios="SI",Datos!CH13,0)</f>
        <v>#REF!</v>
      </c>
      <c r="Q13">
        <f>IF(J_V="SI",0,Datos!AG13)</f>
        <v>437</v>
      </c>
      <c r="R13">
        <f>IF(J_V="SI",0,Datos!AH13)</f>
        <v>324</v>
      </c>
      <c r="S13">
        <f>IF(J_V="SI",0,Datos!AI13)</f>
        <v>293</v>
      </c>
      <c r="T13">
        <f>IF(J_V="SI",0,Datos!AJ13)</f>
        <v>468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0.19198664440734559</v>
      </c>
      <c r="E16" s="348">
        <f>IF(ISNUMBER(
   IF(D_I="SI",(Datos!J16-Datos!T16)/Datos!T16,(Datos!J16+Datos!AD16-(Datos!T16+Datos!AL16))/(Datos!T16+Datos!AL16))
     ),IF(D_I="SI",(Datos!J16-Datos!T16)/Datos!T16,(Datos!J16+Datos!AD16-(Datos!T16+Datos!AL16))/(Datos!T16+Datos!AL16))," - ")</f>
        <v>-6.3688212927756657E-2</v>
      </c>
      <c r="F16" s="348">
        <f>IF(ISNUMBER(
   IF(D_I="SI",(Datos!K16-Datos!U16)/Datos!U16,(Datos!K16+Datos!AE16-(Datos!U16+Datos!AM16))/(Datos!U16+Datos!AM16))
     ),IF(D_I="SI",(Datos!K16-Datos!U16)/Datos!U16,(Datos!K16+Datos!AE16-(Datos!U16+Datos!AM16))/(Datos!U16+Datos!AM16))," - ")</f>
        <v>-0.11840157868771584</v>
      </c>
      <c r="G16" s="349">
        <f>IF(ISNUMBER(
   IF(D_I="SI",(Datos!L16-Datos!V16)/Datos!V16,(Datos!L16+Datos!AF16-(Datos!V16+Datos!AN16))/(Datos!V16+Datos!AN16))
     ),IF(D_I="SI",(Datos!L16-Datos!V16)/Datos!V16,(Datos!L16+Datos!AF16-(Datos!V16+Datos!AN16))/(Datos!V16+Datos!AN16))," - ")</f>
        <v>0.31319290465631927</v>
      </c>
      <c r="H16" s="230">
        <f>IF(ISNUMBER((Datos!M16-Datos!W16)/Datos!W16),(Datos!M16-Datos!W16)/Datos!W16," - ")</f>
        <v>-0.12871287128712872</v>
      </c>
      <c r="I16" s="350">
        <f>IF(ISNUMBER((Tasas!C16-Datos!BE16)/Datos!BE16),(Tasas!C16-Datos!BE16)/Datos!BE16," - ")</f>
        <v>0.48955904741933931</v>
      </c>
      <c r="J16" s="349">
        <f>IF(ISNUMBER((Tasas!D16-Datos!BF16)/Datos!BF16),(Tasas!D16-Datos!BF16)/Datos!BF16," - ")</f>
        <v>-1.169613323951311E-2</v>
      </c>
      <c r="K16" s="351">
        <f>IF(ISNUMBER((Tasas!E16-Datos!BG16)/Datos!BG16),(Tasas!E16-Datos!BG16)/Datos!BG16," - ")</f>
        <v>0.19565628717587372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-0.12755102040816327</v>
      </c>
      <c r="E17" s="348">
        <f>IF(ISNUMBER(
   IF(D_I="SI",(Datos!J17-Datos!T17)/Datos!T17,(Datos!J17+Datos!AD17-(Datos!T17+Datos!AL17))/(Datos!T17+Datos!AL17))
     ),IF(D_I="SI",(Datos!J17-Datos!T17)/Datos!T17,(Datos!J17+Datos!AD17-(Datos!T17+Datos!AL17))/(Datos!T17+Datos!AL17))," - ")</f>
        <v>-5.0724637681159424E-2</v>
      </c>
      <c r="F17" s="348">
        <f>IF(ISNUMBER(
   IF(D_I="SI",(Datos!K17-Datos!U17)/Datos!U17,(Datos!K17+Datos!AE17-(Datos!U17+Datos!AM17))/(Datos!U17+Datos!AM17))
     ),IF(D_I="SI",(Datos!K17-Datos!U17)/Datos!U17,(Datos!K17+Datos!AE17-(Datos!U17+Datos!AM17))/(Datos!U17+Datos!AM17))," - ")</f>
        <v>-6.2937062937062943E-2</v>
      </c>
      <c r="G17" s="349">
        <f>IF(ISNUMBER(
   IF(D_I="SI",(Datos!L17-Datos!V17)/Datos!V17,(Datos!L17+Datos!AF17-(Datos!V17+Datos!AN17))/(Datos!V17+Datos!AN17))
     ),IF(D_I="SI",(Datos!L17-Datos!V17)/Datos!V17,(Datos!L17+Datos!AF17-(Datos!V17+Datos!AN17))/(Datos!V17+Datos!AN17))," - ")</f>
        <v>-0.12041884816753927</v>
      </c>
      <c r="H17" s="230">
        <f>IF(ISNUMBER((Datos!M17-Datos!W17)/Datos!W17),(Datos!M17-Datos!W17)/Datos!W17," - ")</f>
        <v>-0.25</v>
      </c>
      <c r="I17" s="350">
        <f>IF(ISNUMBER((Tasas!C17-Datos!BE17)/Datos!BE17),(Tasas!C17-Datos!BE17)/Datos!BE17," - ")</f>
        <v>-6.1342502148941082E-2</v>
      </c>
      <c r="J17" s="349">
        <f>IF(ISNUMBER((Tasas!D17-Datos!BF17)/Datos!BF17),(Tasas!D17-Datos!BF17)/Datos!BF17," - ")</f>
        <v>-0.19962686567164184</v>
      </c>
      <c r="K17" s="351">
        <f>IF(ISNUMBER((Tasas!E17-Datos!BG17)/Datos!BG17),(Tasas!E17-Datos!BG17)/Datos!BG17," - ")</f>
        <v>-3.5079095540262804E-2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0.16056196688409433</v>
      </c>
      <c r="E18" s="354">
        <f>IF(ISNUMBER(
   IF(D_I="SI",(Datos!J18-Datos!T18)/Datos!T18,(Datos!J18+Datos!AD18-(Datos!T18+Datos!AL18))/(Datos!T18+Datos!AL18))
     ),IF(D_I="SI",(Datos!J18-Datos!T18)/Datos!T18,(Datos!J18+Datos!AD18-(Datos!T18+Datos!AL18))/(Datos!T18+Datos!AL18))," - ")</f>
        <v>-6.2890276538804635E-2</v>
      </c>
      <c r="F18" s="354">
        <f>IF(ISNUMBER(
   IF(D_I="SI",(Datos!K18-Datos!U18)/Datos!U18,(Datos!K18+Datos!AE18-(Datos!U18+Datos!AM18))/(Datos!U18+Datos!AM18))
     ),IF(D_I="SI",(Datos!K18-Datos!U18)/Datos!U18,(Datos!K18+Datos!AE18-(Datos!U18+Datos!AM18))/(Datos!U18+Datos!AM18))," - ")</f>
        <v>-0.11474654377880185</v>
      </c>
      <c r="G18" s="355">
        <f>IF(ISNUMBER(
   IF(D_I="SI",(Datos!L18-Datos!V18)/Datos!V18,(Datos!L18+Datos!AF18-(Datos!V18+Datos!AN18))/(Datos!V18+Datos!AN18))
     ),IF(D_I="SI",(Datos!L18-Datos!V18)/Datos!V18,(Datos!L18+Datos!AF18-(Datos!V18+Datos!AN18))/(Datos!V18+Datos!AN18))," - ")</f>
        <v>0.27167919799498746</v>
      </c>
      <c r="H18" s="356">
        <f>IF(ISNUMBER((Datos!M18-Datos!W18)/Datos!W18),(Datos!M18-Datos!W18)/Datos!W18," - ")</f>
        <v>-0.13333333333333333</v>
      </c>
      <c r="I18" s="357">
        <f>IF(ISNUMBER((Tasas!C18-Datos!BE18)/Datos!BE18),(Tasas!C18-Datos!BE18)/Datos!BE18," - ")</f>
        <v>0.43651424239933534</v>
      </c>
      <c r="J18" s="355">
        <f>IF(ISNUMBER((Tasas!D18-Datos!BF18)/Datos!BF18),(Tasas!D18-Datos!BF18)/Datos!BF18," - ")</f>
        <v>-2.0996009023078244E-2</v>
      </c>
      <c r="K18" s="358">
        <f>IF(ISNUMBER((Tasas!E18-Datos!BG18)/Datos!BG18),(Tasas!E18-Datos!BG18)/Datos!BG18," - ")</f>
        <v>0.17736543897160995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1.5300200485385671E-2</v>
      </c>
      <c r="E19" s="363">
        <f>IF(ISNUMBER(
   IF(J_V="SI",(Datos!J19-Datos!T19)/Datos!T19,(Datos!J19+Datos!Z19-(Datos!T19+Datos!AH19))/(Datos!T19+Datos!AH19))
     ),IF(J_V="SI",(Datos!J19-Datos!T19)/Datos!T19,(Datos!J19+Datos!Z19-(Datos!T19+Datos!AH19))/(Datos!T19+Datos!AH19))," - ")</f>
        <v>2.7548209366391185E-2</v>
      </c>
      <c r="F19" s="363">
        <f>IF(ISNUMBER(
   IF(J_V="SI",(Datos!K19-Datos!U19)/Datos!U19,(Datos!K19+Datos!AA19-(Datos!U19+Datos!AI19))/(Datos!U19+Datos!AI19))
     ),IF(J_V="SI",(Datos!K19-Datos!U19)/Datos!U19,(Datos!K19+Datos!AA19-(Datos!U19+Datos!AI19))/(Datos!U19+Datos!AI19))," - ")</f>
        <v>4.9299065420560749E-2</v>
      </c>
      <c r="G19" s="364">
        <f>IF(ISNUMBER(
   IF(J_V="SI",(Datos!L19-Datos!V19)/Datos!V19,(Datos!L19+Datos!AB19-(Datos!V19+Datos!AJ19))/(Datos!V19+Datos!AJ19))
     ),IF(J_V="SI",(Datos!L19-Datos!V19)/Datos!V19,(Datos!L19+Datos!AB19-(Datos!V19+Datos!AJ19))/(Datos!V19+Datos!AJ19))," - ")</f>
        <v>-2.0368672980955291E-3</v>
      </c>
      <c r="H19" s="365">
        <f>IF(ISNUMBER((Datos!M19-Datos!W19)/Datos!W19),(Datos!M19-Datos!W19)/Datos!W19," - ")</f>
        <v>0.13354037267080746</v>
      </c>
      <c r="I19" s="362">
        <f>IF(ISNUMBER((Tasas!C19-Datos!BE19)/Datos!BE19),(Tasas!C19-Datos!BE19)/Datos!BE19," - ")</f>
        <v>-4.8924024056078562E-2</v>
      </c>
      <c r="J19" s="363">
        <f>IF(ISNUMBER((Tasas!D19-Datos!BF19)/Datos!BF19),(Tasas!D19-Datos!BF19)/Datos!BF19," - ")</f>
        <v>-0.51518988422062861</v>
      </c>
      <c r="K19" s="364">
        <f>IF(ISNUMBER((Tasas!E19-Datos!BG19)/Datos!BG19),(Tasas!E19-Datos!BG19)/Datos!BG19," - ")</f>
        <v>-2.8521336213643882E-2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0.15632238743608817</v>
      </c>
      <c r="E21" s="278">
        <f t="shared" si="1"/>
        <v>1.058978900237157</v>
      </c>
      <c r="F21" s="278">
        <f t="shared" si="1"/>
        <v>0.53143295360244047</v>
      </c>
      <c r="G21" s="279">
        <f t="shared" si="1"/>
        <v>0.20016985999996104</v>
      </c>
      <c r="H21" s="285">
        <f t="shared" si="1"/>
        <v>0.59109483929894202</v>
      </c>
      <c r="I21" s="277">
        <f t="shared" si="1"/>
        <v>0.38789133414772037</v>
      </c>
      <c r="J21" s="278">
        <f t="shared" si="1"/>
        <v>0.36088010351154937</v>
      </c>
      <c r="K21" s="279">
        <f t="shared" si="1"/>
        <v>0.21032489248460143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dYxaFo0KeHff0Ce5+Im1DqoPPSkMQH2B1CR4MpSGAV3vyw85/GqnMSOhUjFh9cnrT54ae+YmiXz2uudazAPkA==" saltValue="W/+qJ2iYRAwMTwqIxdL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